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tabRatio="779" activeTab="0"/>
  </bookViews>
  <sheets>
    <sheet name="Total" sheetId="1" r:id="rId1"/>
    <sheet name="TOTAL SCHOOLS" sheetId="2" r:id="rId2"/>
    <sheet name="District" sheetId="3" r:id="rId3"/>
    <sheet name="Clarke" sheetId="4" r:id="rId4"/>
    <sheet name="Hadley" sheetId="5" r:id="rId5"/>
    <sheet name="Machon" sheetId="6" r:id="rId6"/>
    <sheet name="Stanley" sheetId="7" r:id="rId7"/>
    <sheet name="Middle" sheetId="8" r:id="rId8"/>
    <sheet name="High" sheetId="9" r:id="rId9"/>
  </sheets>
  <definedNames>
    <definedName name="_xlnm.Print_Titles" localSheetId="2">'District'!$1:$5</definedName>
  </definedNames>
  <calcPr fullCalcOnLoad="1"/>
</workbook>
</file>

<file path=xl/sharedStrings.xml><?xml version="1.0" encoding="utf-8"?>
<sst xmlns="http://schemas.openxmlformats.org/spreadsheetml/2006/main" count="934" uniqueCount="318">
  <si>
    <t>FY06</t>
  </si>
  <si>
    <t>FY07</t>
  </si>
  <si>
    <t>FY08</t>
  </si>
  <si>
    <t>Actual</t>
  </si>
  <si>
    <t>Proposed</t>
  </si>
  <si>
    <t>1110:</t>
  </si>
  <si>
    <t>School Committee</t>
  </si>
  <si>
    <t>SALARIES</t>
  </si>
  <si>
    <t>EXPENSES</t>
  </si>
  <si>
    <t>Sub Total</t>
  </si>
  <si>
    <t>1210:</t>
  </si>
  <si>
    <t>Superintendent</t>
  </si>
  <si>
    <t>PROFESSIONAL SALARIES</t>
  </si>
  <si>
    <t>NON-PROFESSIONAL SALARIES</t>
  </si>
  <si>
    <t>1220:</t>
  </si>
  <si>
    <t>Assistant Superintendent</t>
  </si>
  <si>
    <t>1230:</t>
  </si>
  <si>
    <t>1410:</t>
  </si>
  <si>
    <t>Business and Finance</t>
  </si>
  <si>
    <t>ADVERTISING</t>
  </si>
  <si>
    <t>ADMINISTRATIVE EQUIPMENT</t>
  </si>
  <si>
    <t>AUDIT</t>
  </si>
  <si>
    <t>1420:</t>
  </si>
  <si>
    <t>Human Resources/Payroll/Benefits</t>
  </si>
  <si>
    <t>PAYROLL/HR EXPENSES</t>
  </si>
  <si>
    <t>1430:</t>
  </si>
  <si>
    <t>LEGAL FEES - SPED/STUDENT SERV.</t>
  </si>
  <si>
    <t>LEGAL FEES - COMMITTEE</t>
  </si>
  <si>
    <t>1450:</t>
  </si>
  <si>
    <t>Information Management and Tech.</t>
  </si>
  <si>
    <t>CONTRACTED SERVICES</t>
  </si>
  <si>
    <t>EQUIPMENT MAINTENANCE</t>
  </si>
  <si>
    <t>HARDWARE/SOFTWARE ACQUISITION</t>
  </si>
  <si>
    <t>1000:</t>
  </si>
  <si>
    <t>DISTRICT LEADERSHIP TOTAL</t>
  </si>
  <si>
    <t>2110:</t>
  </si>
  <si>
    <t>Academic/Curriculum Leadership</t>
  </si>
  <si>
    <t>2120:</t>
  </si>
  <si>
    <t>2310:</t>
  </si>
  <si>
    <t>Teaching Services - SPECIAL</t>
  </si>
  <si>
    <t>ELL PROFESSIONAL SALARIES</t>
  </si>
  <si>
    <t>HOME TUTORING</t>
  </si>
  <si>
    <t>SUMMER PROGRAMMING</t>
  </si>
  <si>
    <t>ELL CONTRACTED SERVICES</t>
  </si>
  <si>
    <t>SPECIAL ED. CONTRACTED SERVICES</t>
  </si>
  <si>
    <t>2320:</t>
  </si>
  <si>
    <t>Teaching Services - Medical/Therap.</t>
  </si>
  <si>
    <t>PROFESSI0NAL SALARIES</t>
  </si>
  <si>
    <t>2325:</t>
  </si>
  <si>
    <t>2330:</t>
  </si>
  <si>
    <t>Teaching Services - Assistants SPED</t>
  </si>
  <si>
    <t>2350:</t>
  </si>
  <si>
    <t>Professional Development</t>
  </si>
  <si>
    <t>INSERVICE</t>
  </si>
  <si>
    <t>2400:</t>
  </si>
  <si>
    <t>Instructional Mat./Text/Equip/Services</t>
  </si>
  <si>
    <t>TEXT/SUPPLEMNTRY BOOKS</t>
  </si>
  <si>
    <t>SPECIAL EDUCATION SUPPLIES</t>
  </si>
  <si>
    <t>2450:</t>
  </si>
  <si>
    <t>Instructional Technology</t>
  </si>
  <si>
    <t>2700:</t>
  </si>
  <si>
    <t>Counseling and Testing</t>
  </si>
  <si>
    <t>2800:</t>
  </si>
  <si>
    <t>Psychological Services</t>
  </si>
  <si>
    <t>2000:</t>
  </si>
  <si>
    <t>INSTRUCTIONAL SERVICES TOTAL</t>
  </si>
  <si>
    <t>3200:</t>
  </si>
  <si>
    <t>Health Services</t>
  </si>
  <si>
    <t>PHYSICIAN - PHYSICALS</t>
  </si>
  <si>
    <t>3300:</t>
  </si>
  <si>
    <t>Transportation Services</t>
  </si>
  <si>
    <t>3000:</t>
  </si>
  <si>
    <t>STUDENT SERVICES TOTAL</t>
  </si>
  <si>
    <t>4000:</t>
  </si>
  <si>
    <t>Operations and Maintenance</t>
  </si>
  <si>
    <t>OPERATIONS/MAINTENANCE TOTAL</t>
  </si>
  <si>
    <t>5200:</t>
  </si>
  <si>
    <t>Insurance Programs</t>
  </si>
  <si>
    <t>RETIREE MEDICAL - BC/BS</t>
  </si>
  <si>
    <t>RETIREE MEDICAL - MEDEX</t>
  </si>
  <si>
    <t>RETIREE DENTAL - DELTA</t>
  </si>
  <si>
    <t>MEDICARE MATCH</t>
  </si>
  <si>
    <t>UNEMPLOYMENT</t>
  </si>
  <si>
    <t>WORKER'S COMPENSATION</t>
  </si>
  <si>
    <t>PROPERTY/LIABILITY INSURANCE</t>
  </si>
  <si>
    <t>5500:</t>
  </si>
  <si>
    <t>Other Fixed Charges</t>
  </si>
  <si>
    <t>403(B) PAYMENTS</t>
  </si>
  <si>
    <t>5000:</t>
  </si>
  <si>
    <t>FIXED CHARGES TOTALS</t>
  </si>
  <si>
    <t>7200:</t>
  </si>
  <si>
    <t>Acquisition/Improvement Buildings</t>
  </si>
  <si>
    <t>7350:</t>
  </si>
  <si>
    <t>Acquisition/Improvement Technology</t>
  </si>
  <si>
    <t>CAPITAL TECHNOLOGY</t>
  </si>
  <si>
    <t>7000:</t>
  </si>
  <si>
    <t>CAPITAL FIXED ASSETS TOTAL</t>
  </si>
  <si>
    <t>9000:</t>
  </si>
  <si>
    <t>Outside Placements</t>
  </si>
  <si>
    <t>OUTSIDE PLACEMENT TOTALS</t>
  </si>
  <si>
    <t>TOTAL :</t>
  </si>
  <si>
    <t>CONTINGENCY</t>
  </si>
  <si>
    <t>CONTRACTED PROF DEV SERVICES</t>
  </si>
  <si>
    <t>STAFF EXPENSES</t>
  </si>
  <si>
    <t>SCHOOL LUNCH PROGRAM</t>
  </si>
  <si>
    <t>TELEPHONE EXPENSE</t>
  </si>
  <si>
    <t>MEMBERSHIP AND CONFERENCES</t>
  </si>
  <si>
    <t>CENSUS</t>
  </si>
  <si>
    <t>SPECIAL EDUCATION TELEPHONE</t>
  </si>
  <si>
    <t>SPECIAL EDUCATION STAFF EXPENSE</t>
  </si>
  <si>
    <t>SPECIAL EDUCATION EQUIP REPLAC</t>
  </si>
  <si>
    <t>SUPPLIES AND MATERIALS</t>
  </si>
  <si>
    <t>SPECIAL EDUCATION DRIVERS</t>
  </si>
  <si>
    <t>SPECIAL EDUCATION CONTRACTS</t>
  </si>
  <si>
    <t>TRANSPORTATION MAINTENANCE</t>
  </si>
  <si>
    <t>CONSORTIUM</t>
  </si>
  <si>
    <t>PUBLIC SCHOOL TUITION</t>
  </si>
  <si>
    <t>PRIVATE SCHOOL TUITION</t>
  </si>
  <si>
    <t>NS CONSORTIUM TUITION</t>
  </si>
  <si>
    <t>Special Education</t>
  </si>
  <si>
    <t>COPIER MAINT</t>
  </si>
  <si>
    <t>CROSSING GUARDS</t>
  </si>
  <si>
    <t>SUMMER CUSTODIANS</t>
  </si>
  <si>
    <t>MAINTENANCE STAFF SALARIES</t>
  </si>
  <si>
    <t>UNALLOCATED</t>
  </si>
  <si>
    <t>STIPEND</t>
  </si>
  <si>
    <t>CIRCUIT BREAKER</t>
  </si>
  <si>
    <t>INSURANCE</t>
  </si>
  <si>
    <t>PENSION</t>
  </si>
  <si>
    <t>BLDG MAINT (EMERGENCY)</t>
  </si>
  <si>
    <t>TELEPHONE</t>
  </si>
  <si>
    <t>BLDG SECURITY (SYSTEM-WIDE)</t>
  </si>
  <si>
    <t>SNOW REMOVAL</t>
  </si>
  <si>
    <t>INSTRUCT TECH</t>
  </si>
  <si>
    <t>Other Salary Contingencies</t>
  </si>
  <si>
    <t>CONTRACT NEGOTIATIONS</t>
  </si>
  <si>
    <t>SICK LEAVE BUY BACK</t>
  </si>
  <si>
    <t>SMS MAINTAIN BLDG</t>
  </si>
  <si>
    <t>BUILDING SECURITY (RESOURCE OFFIC)</t>
  </si>
  <si>
    <t>Budget</t>
  </si>
  <si>
    <t>Swampscott Public Schools -District Programs  - 2007/2008</t>
  </si>
  <si>
    <t>District Expenses</t>
  </si>
  <si>
    <t xml:space="preserve">Teaching Services </t>
  </si>
  <si>
    <t>ADDITIONAL ASSIGNMENTS</t>
  </si>
  <si>
    <t>Adjustments</t>
  </si>
  <si>
    <t>Unemployment</t>
  </si>
  <si>
    <t>Guidance</t>
  </si>
  <si>
    <t>4 elem ESP's</t>
  </si>
  <si>
    <t>6 ms ESP's</t>
  </si>
  <si>
    <t>1 ms Teacher</t>
  </si>
  <si>
    <t>Speech HS</t>
  </si>
  <si>
    <t>Speech MS</t>
  </si>
  <si>
    <t>Assist Principal/AD</t>
  </si>
  <si>
    <t>6 hs ESP's</t>
  </si>
  <si>
    <t>1 hs Teacher</t>
  </si>
  <si>
    <t>PRESCHOOL TUITION</t>
  </si>
  <si>
    <t>Swampscott Public Schools - Clarke Elementary School - 2007/2008</t>
  </si>
  <si>
    <t>ELEMENTARY PROGRAM</t>
  </si>
  <si>
    <t>Actual to Date</t>
  </si>
  <si>
    <t>Remain Bal</t>
  </si>
  <si>
    <t>Voted by SC</t>
  </si>
  <si>
    <t>2200:</t>
  </si>
  <si>
    <t>Principal</t>
  </si>
  <si>
    <t>NON PROF. SALARIES</t>
  </si>
  <si>
    <t>COPIER SUPPLIES</t>
  </si>
  <si>
    <t>OFFICE EXPENSE</t>
  </si>
  <si>
    <t>STAFF EXPENSE</t>
  </si>
  <si>
    <t xml:space="preserve">TELEPHONE </t>
  </si>
  <si>
    <t>2300:</t>
  </si>
  <si>
    <t>Teaching Services: Professional</t>
  </si>
  <si>
    <t>SALARY -FINE ARTS</t>
  </si>
  <si>
    <t>SALARY -ELEMENTARY</t>
  </si>
  <si>
    <t>SALARY - READING</t>
  </si>
  <si>
    <t>LIBRARY  SALARIES</t>
  </si>
  <si>
    <t>CONTRACT PROVISIONS</t>
  </si>
  <si>
    <t>TECHNOLOGY SALARIES</t>
  </si>
  <si>
    <t xml:space="preserve">Teaching Services: Special </t>
  </si>
  <si>
    <t>SPECIAL EDUCATION SALARIES</t>
  </si>
  <si>
    <t>TEAM LEADER</t>
  </si>
  <si>
    <t>ELL</t>
  </si>
  <si>
    <t>PSYCHOLOGIST</t>
  </si>
  <si>
    <t>Teaching Services: Substitutes</t>
  </si>
  <si>
    <t xml:space="preserve">SUBSTITUTES </t>
  </si>
  <si>
    <t>Teaching Services: Assistants</t>
  </si>
  <si>
    <t>SPECIAL EDUCATION</t>
  </si>
  <si>
    <t>REGULAR EDUCATION</t>
  </si>
  <si>
    <t>Professional  Development</t>
  </si>
  <si>
    <t>STIPENDS</t>
  </si>
  <si>
    <t>WORKSHOPS/MEMBERSHIPS</t>
  </si>
  <si>
    <t>LIBRARY BOOKS</t>
  </si>
  <si>
    <t>EDUCATIONAL MATER - FINE ARTS</t>
  </si>
  <si>
    <t>EDUCATIONAL MATER  - ELEM</t>
  </si>
  <si>
    <t>EQUIP PURCHASES/MAINT</t>
  </si>
  <si>
    <t xml:space="preserve">SPED - ELL </t>
  </si>
  <si>
    <t>SPED EDUC MATER</t>
  </si>
  <si>
    <t>SUPPLIES &amp; MATERIALS</t>
  </si>
  <si>
    <t>NURSE SALARIES</t>
  </si>
  <si>
    <t>MEDICAL/HEALTH SERVICES</t>
  </si>
  <si>
    <t>PE SALARIES</t>
  </si>
  <si>
    <t>3520:</t>
  </si>
  <si>
    <t>Student Activities</t>
  </si>
  <si>
    <t xml:space="preserve">STUDENT ACTIVITIES </t>
  </si>
  <si>
    <t xml:space="preserve">PERFORMING ARTS </t>
  </si>
  <si>
    <t>Operations/Maintenance</t>
  </si>
  <si>
    <t>Maintenance Sub Total</t>
  </si>
  <si>
    <t xml:space="preserve">HEATING FUEL </t>
  </si>
  <si>
    <t xml:space="preserve">WATER </t>
  </si>
  <si>
    <t xml:space="preserve">ELECTRICITY </t>
  </si>
  <si>
    <t>EQUIP MAINTENANCE</t>
  </si>
  <si>
    <t>BLDG MAINTENANCE</t>
  </si>
  <si>
    <t>Operations Sub Total</t>
  </si>
  <si>
    <t>ADJUSTED BUDGET</t>
  </si>
  <si>
    <t>Swampscott Public Schools - Hadley Elementary School - 2007/2008</t>
  </si>
  <si>
    <t>Balance</t>
  </si>
  <si>
    <t>Voted by SC 2/13</t>
  </si>
  <si>
    <t>Adjustment</t>
  </si>
  <si>
    <t>Voted by SC 2/19</t>
  </si>
  <si>
    <t>ELL TUTOR</t>
  </si>
  <si>
    <t>LIBRARY</t>
  </si>
  <si>
    <t>ESL MATERIAL</t>
  </si>
  <si>
    <t>SPED MATERIAL</t>
  </si>
  <si>
    <t>SEC. CHECKS/EXTRA HELP/SUBS</t>
  </si>
  <si>
    <t>Swampscott Public Schools - Machon Elementary School - 2007/2008</t>
  </si>
  <si>
    <t>ELL MATERIAL</t>
  </si>
  <si>
    <t>SPED MATERIALS</t>
  </si>
  <si>
    <t>Swampscott Public Schools - Stanley Elementary School - 2007/2008</t>
  </si>
  <si>
    <t>ELL MATERIALS</t>
  </si>
  <si>
    <t>Swampscott Public Schools - SWAMPSCOTT MIDDLE SCHOOL - 2007/2008</t>
  </si>
  <si>
    <t>MIDDLE SCHOOL PROGRAM</t>
  </si>
  <si>
    <t>PRINCIPAL SALARY</t>
  </si>
  <si>
    <t>ASSISTANT PRINCIPAL SALARIES</t>
  </si>
  <si>
    <t>SALARY -PRAC ARTS</t>
  </si>
  <si>
    <t>SALARY -COMPUTER</t>
  </si>
  <si>
    <t>SALARY -ENGLISH</t>
  </si>
  <si>
    <t>SALARY -FOR LANG</t>
  </si>
  <si>
    <t>SALARY -MATH</t>
  </si>
  <si>
    <t>SALARY -SCIENCE</t>
  </si>
  <si>
    <t>SALARY - SOCIAL STUDIES</t>
  </si>
  <si>
    <t>SALARY- 6th GRADE</t>
  </si>
  <si>
    <t>SALARY -READING</t>
  </si>
  <si>
    <t>METCO OFFSET</t>
  </si>
  <si>
    <t>DEPARTMENT HEADS</t>
  </si>
  <si>
    <t>TEAM LEADER SALARIES</t>
  </si>
  <si>
    <t>TEXTBOOKS - PRAC ARTS</t>
  </si>
  <si>
    <t>TEXTBOOKS - GENERAL</t>
  </si>
  <si>
    <t>TEXTBOOKS - SOCIAL STUDIES</t>
  </si>
  <si>
    <t>TEXTBOOKS - FOR LANGUAGE</t>
  </si>
  <si>
    <t>TEXTBOOKS - MATH</t>
  </si>
  <si>
    <t>TEXTBOOKS - READING</t>
  </si>
  <si>
    <t>TEXTBOOKS - SCIENCE</t>
  </si>
  <si>
    <t>TEXTBOOKS - ENGLISH</t>
  </si>
  <si>
    <t>EDUCATIONAL MATER  - PRAC ARTS</t>
  </si>
  <si>
    <t>EDUCATIONAL MATER  - GENERAL</t>
  </si>
  <si>
    <t>EDUCATIONAL MATER  - SOC STUDIES</t>
  </si>
  <si>
    <t>EDUCATIONAL MATER  - FOR LANG</t>
  </si>
  <si>
    <t>EDUCATIONAL MATER  - MATH</t>
  </si>
  <si>
    <t>EDUCATIONAL MATER  - COMPUTER</t>
  </si>
  <si>
    <t>EDUCATIONAL MATER  - READING</t>
  </si>
  <si>
    <t>EDUCATIONAL MATER  - SCIENCE</t>
  </si>
  <si>
    <t>EDUCATIONAL MATER  - ENGLISH</t>
  </si>
  <si>
    <t>CLERICAL SALARY</t>
  </si>
  <si>
    <t>MEMBERSHIPS</t>
  </si>
  <si>
    <t>TRANSPORTATION SBA</t>
  </si>
  <si>
    <t>COACHES</t>
  </si>
  <si>
    <t>ADVISORS</t>
  </si>
  <si>
    <t>MOVE TO PRESENT HS</t>
  </si>
  <si>
    <t>PROPOSED NEW POSITIONS</t>
  </si>
  <si>
    <t>CUSTODIANS</t>
  </si>
  <si>
    <t>Swampscott Public Schools - SWAMPSCOTT HIGH SCHOOL - 2007/2008</t>
  </si>
  <si>
    <t>HIGH SCHOOL PROGRAM</t>
  </si>
  <si>
    <t>GRADUATION</t>
  </si>
  <si>
    <t>SALARY- BUSINESS</t>
  </si>
  <si>
    <t>SALARY -HOME EC</t>
  </si>
  <si>
    <t>STIPENDS - DEPT HEADS</t>
  </si>
  <si>
    <t>CURRICULUM DEVELOPMENT</t>
  </si>
  <si>
    <t>TEXTBOOKS - HEALTH</t>
  </si>
  <si>
    <t>EDUCATIONAL MATER - PE</t>
  </si>
  <si>
    <t>SALARY - PE</t>
  </si>
  <si>
    <t>ATHLETICS</t>
  </si>
  <si>
    <t>ATHLETIC DIRECTOR</t>
  </si>
  <si>
    <t>ATHLETIC CLERICAL</t>
  </si>
  <si>
    <t>ATHLETIC TELEPHONE</t>
  </si>
  <si>
    <t>USER FEES</t>
  </si>
  <si>
    <t>SECURITY</t>
  </si>
  <si>
    <t>LANDSCAPING</t>
  </si>
  <si>
    <t>NEW POSITIONS</t>
  </si>
  <si>
    <t>ALTERNATIVE TEACHER</t>
  </si>
  <si>
    <t>WORLD LANGUAGE</t>
  </si>
  <si>
    <t>EDUCATION SUPPORT PROFESSIONAL</t>
  </si>
  <si>
    <t>NETWORK COORDINATOR</t>
  </si>
  <si>
    <t>FACILITY MANAGER</t>
  </si>
  <si>
    <t>Swampscott Public Schools - Summary  - 2007/2008</t>
  </si>
  <si>
    <t>SCHOOL SITE SUMMARY</t>
  </si>
  <si>
    <t>CLARKE ELEMENTARY SCHOOL</t>
  </si>
  <si>
    <t>HADLEY ELEMENTARY SCHOOL</t>
  </si>
  <si>
    <t>MACHON ELEMENTARY SCHOOL</t>
  </si>
  <si>
    <t>STANLEY ELEMENTARY SCHOOL</t>
  </si>
  <si>
    <t>MIDDLE SCHOOL</t>
  </si>
  <si>
    <t>HIGH SCHOOL</t>
  </si>
  <si>
    <t>DISTRICT EXPENSES</t>
  </si>
  <si>
    <t>TOTAL</t>
  </si>
  <si>
    <t>Bal Avail</t>
  </si>
  <si>
    <t>SALARIES TO BE REDISTRIBUTED</t>
  </si>
  <si>
    <t>REDISTRICT MACHON</t>
  </si>
  <si>
    <t>14 elementary teachers</t>
  </si>
  <si>
    <t>TEAM LEADERS</t>
  </si>
  <si>
    <t>OVERTIME</t>
  </si>
  <si>
    <t>OVERTIME/SUBSTITUTE SALARY</t>
  </si>
  <si>
    <t>Legal Services</t>
  </si>
  <si>
    <t>ADMIN OFFICE SUPPLIES</t>
  </si>
  <si>
    <t>DEAN OF STUDENTS</t>
  </si>
  <si>
    <t>EQUIPMENT REPAIR</t>
  </si>
  <si>
    <t>EQUIP REPAIR</t>
  </si>
  <si>
    <t>HARDWARE/SOFTWARE ACQUISITIONS</t>
  </si>
  <si>
    <t>Technology</t>
  </si>
  <si>
    <t>Actual to date</t>
  </si>
  <si>
    <t>Voted</t>
  </si>
  <si>
    <t>Under Construction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</si>
</sst>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4">
    <font>
      <sz val="10"/>
      <name val="Arial"/>
      <family val="0"/>
    </font>
    <font>
      <b/>
      <sz val="14"/>
      <name val="Calisto MT"/>
      <family val="1"/>
    </font>
    <font>
      <sz val="10"/>
      <name val="Geneva"/>
      <family val="0"/>
    </font>
    <font>
      <b/>
      <sz val="10"/>
      <color indexed="9"/>
      <name val="Geneva"/>
      <family val="0"/>
    </font>
    <font>
      <b/>
      <sz val="8"/>
      <color indexed="9"/>
      <name val="Geneva"/>
      <family val="0"/>
    </font>
    <font>
      <b/>
      <sz val="10"/>
      <name val="Geneva"/>
      <family val="0"/>
    </font>
    <font>
      <sz val="8"/>
      <name val="Arial"/>
      <family val="0"/>
    </font>
    <font>
      <u val="singleAccounting"/>
      <sz val="10"/>
      <name val="Geneva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u val="single"/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Accounting"/>
      <sz val="10"/>
      <color indexed="9"/>
      <name val="Geneva"/>
      <family val="0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tted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tted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dotted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164" fontId="4" fillId="2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 quotePrefix="1">
      <alignment horizontal="right"/>
    </xf>
    <xf numFmtId="0" fontId="3" fillId="3" borderId="3" xfId="0" applyFont="1" applyFill="1" applyBorder="1" applyAlignment="1">
      <alignment horizontal="left"/>
    </xf>
    <xf numFmtId="164" fontId="3" fillId="3" borderId="4" xfId="17" applyNumberFormat="1" applyFont="1" applyFill="1" applyBorder="1" applyAlignment="1">
      <alignment/>
    </xf>
    <xf numFmtId="0" fontId="5" fillId="0" borderId="5" xfId="0" applyFont="1" applyBorder="1" applyAlignment="1">
      <alignment horizontal="right"/>
    </xf>
    <xf numFmtId="0" fontId="2" fillId="0" borderId="0" xfId="0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Fill="1" applyBorder="1" applyAlignment="1">
      <alignment/>
    </xf>
    <xf numFmtId="164" fontId="2" fillId="0" borderId="10" xfId="17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5" fillId="0" borderId="8" xfId="0" applyFont="1" applyBorder="1" applyAlignment="1">
      <alignment horizontal="right"/>
    </xf>
    <xf numFmtId="164" fontId="2" fillId="0" borderId="12" xfId="17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Fill="1" applyBorder="1" applyAlignment="1">
      <alignment/>
    </xf>
    <xf numFmtId="164" fontId="2" fillId="0" borderId="16" xfId="17" applyNumberFormat="1" applyFont="1" applyFill="1" applyBorder="1" applyAlignment="1">
      <alignment/>
    </xf>
    <xf numFmtId="0" fontId="2" fillId="0" borderId="5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11" xfId="17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>
      <alignment/>
    </xf>
    <xf numFmtId="164" fontId="2" fillId="0" borderId="19" xfId="17" applyNumberFormat="1" applyFont="1" applyFill="1" applyBorder="1" applyAlignment="1">
      <alignment/>
    </xf>
    <xf numFmtId="0" fontId="5" fillId="4" borderId="20" xfId="0" applyFont="1" applyFill="1" applyBorder="1" applyAlignment="1" quotePrefix="1">
      <alignment horizontal="right"/>
    </xf>
    <xf numFmtId="0" fontId="5" fillId="4" borderId="21" xfId="0" applyFont="1" applyFill="1" applyBorder="1" applyAlignment="1">
      <alignment/>
    </xf>
    <xf numFmtId="164" fontId="2" fillId="4" borderId="22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4" fontId="2" fillId="0" borderId="6" xfId="17" applyNumberFormat="1" applyFont="1" applyFill="1" applyBorder="1" applyAlignment="1">
      <alignment/>
    </xf>
    <xf numFmtId="164" fontId="2" fillId="0" borderId="7" xfId="17" applyNumberFormat="1" applyFont="1" applyFill="1" applyBorder="1" applyAlignment="1">
      <alignment/>
    </xf>
    <xf numFmtId="42" fontId="2" fillId="0" borderId="7" xfId="0" applyNumberFormat="1" applyFont="1" applyBorder="1" applyAlignment="1">
      <alignment/>
    </xf>
    <xf numFmtId="164" fontId="2" fillId="0" borderId="23" xfId="17" applyNumberFormat="1" applyFont="1" applyFill="1" applyBorder="1" applyAlignment="1">
      <alignment/>
    </xf>
    <xf numFmtId="164" fontId="2" fillId="0" borderId="24" xfId="0" applyNumberFormat="1" applyFont="1" applyBorder="1" applyAlignment="1">
      <alignment/>
    </xf>
    <xf numFmtId="46" fontId="3" fillId="3" borderId="2" xfId="0" applyNumberFormat="1" applyFont="1" applyFill="1" applyBorder="1" applyAlignment="1" quotePrefix="1">
      <alignment horizontal="right"/>
    </xf>
    <xf numFmtId="0" fontId="5" fillId="4" borderId="25" xfId="0" applyFont="1" applyFill="1" applyBorder="1" applyAlignment="1" quotePrefix="1">
      <alignment horizontal="right"/>
    </xf>
    <xf numFmtId="0" fontId="5" fillId="4" borderId="26" xfId="0" applyFont="1" applyFill="1" applyBorder="1" applyAlignment="1">
      <alignment/>
    </xf>
    <xf numFmtId="164" fontId="2" fillId="4" borderId="27" xfId="0" applyNumberFormat="1" applyFont="1" applyFill="1" applyBorder="1" applyAlignment="1">
      <alignment/>
    </xf>
    <xf numFmtId="43" fontId="5" fillId="4" borderId="21" xfId="15" applyFont="1" applyFill="1" applyBorder="1" applyAlignment="1">
      <alignment horizontal="center"/>
    </xf>
    <xf numFmtId="164" fontId="2" fillId="4" borderId="22" xfId="17" applyNumberFormat="1" applyFont="1" applyFill="1" applyBorder="1" applyAlignment="1">
      <alignment/>
    </xf>
    <xf numFmtId="0" fontId="5" fillId="0" borderId="5" xfId="0" applyFont="1" applyFill="1" applyBorder="1" applyAlignment="1" quotePrefix="1">
      <alignment horizontal="right"/>
    </xf>
    <xf numFmtId="164" fontId="2" fillId="0" borderId="28" xfId="17" applyNumberFormat="1" applyFont="1" applyFill="1" applyBorder="1" applyAlignment="1">
      <alignment/>
    </xf>
    <xf numFmtId="164" fontId="2" fillId="0" borderId="29" xfId="17" applyNumberFormat="1" applyFont="1" applyFill="1" applyBorder="1" applyAlignment="1">
      <alignment/>
    </xf>
    <xf numFmtId="0" fontId="3" fillId="3" borderId="30" xfId="0" applyFont="1" applyFill="1" applyBorder="1" applyAlignment="1">
      <alignment horizontal="left"/>
    </xf>
    <xf numFmtId="164" fontId="2" fillId="4" borderId="27" xfId="17" applyNumberFormat="1" applyFont="1" applyFill="1" applyBorder="1" applyAlignment="1">
      <alignment/>
    </xf>
    <xf numFmtId="0" fontId="5" fillId="0" borderId="17" xfId="0" applyFont="1" applyBorder="1" applyAlignment="1">
      <alignment horizontal="right"/>
    </xf>
    <xf numFmtId="164" fontId="2" fillId="0" borderId="31" xfId="17" applyNumberFormat="1" applyFont="1" applyFill="1" applyBorder="1" applyAlignment="1">
      <alignment/>
    </xf>
    <xf numFmtId="164" fontId="2" fillId="5" borderId="3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4" fontId="2" fillId="6" borderId="16" xfId="17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3" fillId="3" borderId="32" xfId="17" applyNumberFormat="1" applyFont="1" applyFill="1" applyBorder="1" applyAlignment="1">
      <alignment/>
    </xf>
    <xf numFmtId="164" fontId="2" fillId="0" borderId="0" xfId="17" applyNumberFormat="1" applyFont="1" applyFill="1" applyBorder="1" applyAlignment="1">
      <alignment/>
    </xf>
    <xf numFmtId="0" fontId="3" fillId="3" borderId="33" xfId="0" applyFont="1" applyFill="1" applyBorder="1" applyAlignment="1">
      <alignment horizontal="left"/>
    </xf>
    <xf numFmtId="0" fontId="5" fillId="4" borderId="34" xfId="0" applyFont="1" applyFill="1" applyBorder="1" applyAlignment="1" quotePrefix="1">
      <alignment horizontal="right"/>
    </xf>
    <xf numFmtId="0" fontId="5" fillId="4" borderId="35" xfId="0" applyFont="1" applyFill="1" applyBorder="1" applyAlignment="1">
      <alignment/>
    </xf>
    <xf numFmtId="164" fontId="2" fillId="4" borderId="36" xfId="0" applyNumberFormat="1" applyFont="1" applyFill="1" applyBorder="1" applyAlignment="1">
      <alignment/>
    </xf>
    <xf numFmtId="164" fontId="2" fillId="4" borderId="3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Alignment="1">
      <alignment/>
    </xf>
    <xf numFmtId="164" fontId="5" fillId="0" borderId="12" xfId="17" applyNumberFormat="1" applyFont="1" applyFill="1" applyBorder="1" applyAlignment="1">
      <alignment/>
    </xf>
    <xf numFmtId="0" fontId="8" fillId="0" borderId="0" xfId="0" applyFont="1" applyAlignment="1">
      <alignment/>
    </xf>
    <xf numFmtId="164" fontId="2" fillId="0" borderId="24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0" fontId="3" fillId="0" borderId="39" xfId="0" applyFont="1" applyFill="1" applyBorder="1" applyAlignment="1" quotePrefix="1">
      <alignment horizontal="right"/>
    </xf>
    <xf numFmtId="164" fontId="2" fillId="0" borderId="40" xfId="17" applyNumberFormat="1" applyFont="1" applyFill="1" applyBorder="1" applyAlignment="1">
      <alignment/>
    </xf>
    <xf numFmtId="164" fontId="2" fillId="0" borderId="40" xfId="0" applyNumberFormat="1" applyFont="1" applyFill="1" applyBorder="1" applyAlignment="1">
      <alignment/>
    </xf>
    <xf numFmtId="164" fontId="5" fillId="0" borderId="6" xfId="17" applyNumberFormat="1" applyFont="1" applyFill="1" applyBorder="1" applyAlignment="1">
      <alignment/>
    </xf>
    <xf numFmtId="164" fontId="5" fillId="0" borderId="10" xfId="17" applyNumberFormat="1" applyFont="1" applyFill="1" applyBorder="1" applyAlignment="1">
      <alignment/>
    </xf>
    <xf numFmtId="164" fontId="5" fillId="0" borderId="23" xfId="17" applyNumberFormat="1" applyFont="1" applyFill="1" applyBorder="1" applyAlignment="1">
      <alignment/>
    </xf>
    <xf numFmtId="164" fontId="5" fillId="0" borderId="31" xfId="17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4" fontId="4" fillId="2" borderId="41" xfId="0" applyNumberFormat="1" applyFont="1" applyFill="1" applyBorder="1" applyAlignment="1">
      <alignment horizontal="center" vertical="center"/>
    </xf>
    <xf numFmtId="0" fontId="5" fillId="7" borderId="20" xfId="0" applyFont="1" applyFill="1" applyBorder="1" applyAlignment="1" quotePrefix="1">
      <alignment horizontal="right"/>
    </xf>
    <xf numFmtId="0" fontId="5" fillId="7" borderId="21" xfId="0" applyFont="1" applyFill="1" applyBorder="1" applyAlignment="1">
      <alignment/>
    </xf>
    <xf numFmtId="164" fontId="2" fillId="7" borderId="22" xfId="0" applyNumberFormat="1" applyFont="1" applyFill="1" applyBorder="1" applyAlignment="1">
      <alignment/>
    </xf>
    <xf numFmtId="164" fontId="2" fillId="7" borderId="22" xfId="17" applyNumberFormat="1" applyFont="1" applyFill="1" applyBorder="1" applyAlignment="1">
      <alignment/>
    </xf>
    <xf numFmtId="164" fontId="2" fillId="0" borderId="24" xfId="17" applyNumberFormat="1" applyFont="1" applyFill="1" applyBorder="1" applyAlignment="1">
      <alignment/>
    </xf>
    <xf numFmtId="0" fontId="5" fillId="0" borderId="3" xfId="0" applyFont="1" applyFill="1" applyBorder="1" applyAlignment="1">
      <alignment horizontal="right"/>
    </xf>
    <xf numFmtId="164" fontId="2" fillId="0" borderId="3" xfId="17" applyNumberFormat="1" applyFont="1" applyFill="1" applyBorder="1" applyAlignment="1">
      <alignment/>
    </xf>
    <xf numFmtId="0" fontId="5" fillId="7" borderId="21" xfId="0" applyFont="1" applyFill="1" applyBorder="1" applyAlignment="1" quotePrefix="1">
      <alignment horizontal="right"/>
    </xf>
    <xf numFmtId="164" fontId="2" fillId="7" borderId="21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164" fontId="2" fillId="7" borderId="42" xfId="0" applyNumberFormat="1" applyFont="1" applyFill="1" applyBorder="1" applyAlignment="1">
      <alignment/>
    </xf>
    <xf numFmtId="164" fontId="2" fillId="7" borderId="43" xfId="0" applyNumberFormat="1" applyFont="1" applyFill="1" applyBorder="1" applyAlignment="1">
      <alignment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164" fontId="3" fillId="2" borderId="53" xfId="0" applyNumberFormat="1" applyFont="1" applyFill="1" applyBorder="1" applyAlignment="1">
      <alignment horizontal="center" vertical="center"/>
    </xf>
    <xf numFmtId="164" fontId="3" fillId="2" borderId="54" xfId="0" applyNumberFormat="1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right"/>
    </xf>
    <xf numFmtId="0" fontId="5" fillId="6" borderId="55" xfId="0" applyFont="1" applyFill="1" applyBorder="1" applyAlignment="1">
      <alignment horizontal="right"/>
    </xf>
    <xf numFmtId="164" fontId="13" fillId="2" borderId="53" xfId="0" applyNumberFormat="1" applyFont="1" applyFill="1" applyBorder="1" applyAlignment="1">
      <alignment horizontal="center" vertical="center"/>
    </xf>
    <xf numFmtId="164" fontId="13" fillId="2" borderId="54" xfId="0" applyNumberFormat="1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right"/>
    </xf>
    <xf numFmtId="0" fontId="5" fillId="5" borderId="56" xfId="0" applyFont="1" applyFill="1" applyBorder="1" applyAlignment="1">
      <alignment horizontal="right"/>
    </xf>
    <xf numFmtId="0" fontId="5" fillId="5" borderId="57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1" sqref="A1:H2"/>
    </sheetView>
  </sheetViews>
  <sheetFormatPr defaultColWidth="9.140625" defaultRowHeight="12.75"/>
  <cols>
    <col min="1" max="1" width="8.00390625" style="59" customWidth="1"/>
    <col min="2" max="2" width="35.421875" style="7" customWidth="1"/>
    <col min="3" max="9" width="13.8515625" style="60" customWidth="1"/>
    <col min="10" max="16384" width="11.421875" style="1" customWidth="1"/>
  </cols>
  <sheetData>
    <row r="1" spans="1:9" ht="18" customHeight="1">
      <c r="A1" s="102" t="s">
        <v>291</v>
      </c>
      <c r="B1" s="103"/>
      <c r="C1" s="103"/>
      <c r="D1" s="103"/>
      <c r="E1" s="103"/>
      <c r="F1" s="103"/>
      <c r="G1" s="103"/>
      <c r="H1" s="104"/>
      <c r="I1" s="1"/>
    </row>
    <row r="2" spans="1:9" ht="18" customHeight="1" thickBot="1">
      <c r="A2" s="105"/>
      <c r="B2" s="106"/>
      <c r="C2" s="106"/>
      <c r="D2" s="106"/>
      <c r="E2" s="106"/>
      <c r="F2" s="106"/>
      <c r="G2" s="106"/>
      <c r="H2" s="107"/>
      <c r="I2" s="1"/>
    </row>
    <row r="3" spans="1:8" s="7" customFormat="1" ht="18" customHeight="1" thickBot="1">
      <c r="A3" s="108"/>
      <c r="B3" s="108"/>
      <c r="C3" s="108"/>
      <c r="D3" s="108"/>
      <c r="E3" s="108"/>
      <c r="F3" s="108"/>
      <c r="G3" s="108"/>
      <c r="H3" s="108"/>
    </row>
    <row r="4" spans="1:9" ht="18" customHeight="1">
      <c r="A4" s="109" t="s">
        <v>292</v>
      </c>
      <c r="B4" s="110"/>
      <c r="C4" s="115" t="s">
        <v>0</v>
      </c>
      <c r="D4" s="115" t="s">
        <v>1</v>
      </c>
      <c r="E4" s="115" t="s">
        <v>1</v>
      </c>
      <c r="F4" s="115" t="s">
        <v>1</v>
      </c>
      <c r="G4" s="115" t="s">
        <v>2</v>
      </c>
      <c r="H4" s="115" t="s">
        <v>2</v>
      </c>
      <c r="I4" s="115" t="s">
        <v>2</v>
      </c>
    </row>
    <row r="5" spans="1:9" ht="18" customHeight="1">
      <c r="A5" s="111"/>
      <c r="B5" s="112"/>
      <c r="C5" s="116"/>
      <c r="D5" s="116"/>
      <c r="E5" s="116"/>
      <c r="F5" s="116"/>
      <c r="G5" s="116"/>
      <c r="H5" s="116"/>
      <c r="I5" s="116"/>
    </row>
    <row r="6" spans="1:9" ht="18" customHeight="1" thickBot="1">
      <c r="A6" s="113"/>
      <c r="B6" s="114"/>
      <c r="C6" s="89" t="s">
        <v>3</v>
      </c>
      <c r="D6" s="89" t="s">
        <v>139</v>
      </c>
      <c r="E6" s="89" t="s">
        <v>158</v>
      </c>
      <c r="F6" s="89" t="s">
        <v>301</v>
      </c>
      <c r="G6" s="89" t="s">
        <v>160</v>
      </c>
      <c r="H6" s="89" t="s">
        <v>144</v>
      </c>
      <c r="I6" s="89" t="s">
        <v>160</v>
      </c>
    </row>
    <row r="7" spans="1:9" ht="18" customHeight="1" thickBot="1" thickTop="1">
      <c r="A7" s="90"/>
      <c r="B7" s="91" t="s">
        <v>293</v>
      </c>
      <c r="C7" s="92">
        <f>SUM(Clarke!C85)</f>
        <v>1689317.1600000001</v>
      </c>
      <c r="D7" s="92">
        <f>SUM(Clarke!D85)</f>
        <v>1698216</v>
      </c>
      <c r="E7" s="92">
        <f>SUM(Clarke!E85)</f>
        <v>1354288.6600000001</v>
      </c>
      <c r="F7" s="92">
        <f>SUM(Clarke!F85)</f>
        <v>343927.33999999997</v>
      </c>
      <c r="G7" s="92">
        <f>SUM(Clarke!G85)</f>
        <v>1780348</v>
      </c>
      <c r="H7" s="92">
        <f>SUM(Clarke!H85)</f>
        <v>118867</v>
      </c>
      <c r="I7" s="92">
        <f>SUM(Clarke!I85)</f>
        <v>1899215</v>
      </c>
    </row>
    <row r="8" spans="1:9" s="29" customFormat="1" ht="18" customHeight="1" thickBot="1" thickTop="1">
      <c r="A8" s="36"/>
      <c r="B8" s="37"/>
      <c r="C8" s="39"/>
      <c r="D8" s="38"/>
      <c r="E8" s="38"/>
      <c r="F8" s="38"/>
      <c r="G8" s="38"/>
      <c r="H8" s="38"/>
      <c r="I8" s="38"/>
    </row>
    <row r="9" spans="1:9" ht="18" customHeight="1" thickBot="1" thickTop="1">
      <c r="A9" s="90"/>
      <c r="B9" s="91" t="s">
        <v>294</v>
      </c>
      <c r="C9" s="92">
        <f>SUM(Hadley!C87)</f>
        <v>2157514.9699999997</v>
      </c>
      <c r="D9" s="92">
        <f>SUM(Hadley!D87)</f>
        <v>2153993</v>
      </c>
      <c r="E9" s="92">
        <f>SUM(Hadley!E87)</f>
        <v>1622482.96</v>
      </c>
      <c r="F9" s="92">
        <f>SUM(Hadley!F87)</f>
        <v>533677.48</v>
      </c>
      <c r="G9" s="92">
        <f>SUM(Hadley!G87)</f>
        <v>2307323</v>
      </c>
      <c r="H9" s="92">
        <f>SUM(Hadley!H87)</f>
        <v>119952</v>
      </c>
      <c r="I9" s="92">
        <f>SUM(Hadley!I87)</f>
        <v>2427275</v>
      </c>
    </row>
    <row r="10" spans="1:9" s="29" customFormat="1" ht="18" customHeight="1" thickBot="1" thickTop="1">
      <c r="A10" s="36"/>
      <c r="B10" s="37"/>
      <c r="C10" s="39"/>
      <c r="D10" s="38"/>
      <c r="E10" s="38"/>
      <c r="F10" s="38"/>
      <c r="G10" s="38"/>
      <c r="H10" s="38"/>
      <c r="I10" s="38"/>
    </row>
    <row r="11" spans="1:9" ht="18" customHeight="1" thickBot="1" thickTop="1">
      <c r="A11" s="90"/>
      <c r="B11" s="91" t="s">
        <v>295</v>
      </c>
      <c r="C11" s="92">
        <f>SUM(Machon!C85)</f>
        <v>1336353.96</v>
      </c>
      <c r="D11" s="92">
        <f>SUM(Machon!D85)</f>
        <v>1545112.5</v>
      </c>
      <c r="E11" s="92">
        <f>SUM(Machon!E85)</f>
        <v>1145731.81</v>
      </c>
      <c r="F11" s="92">
        <f>SUM(Machon!F85)</f>
        <v>399380.69</v>
      </c>
      <c r="G11" s="92">
        <f>SUM(Machon!G85)</f>
        <v>1591255</v>
      </c>
      <c r="H11" s="92">
        <f>SUM(Machon!H85)</f>
        <v>-1591255</v>
      </c>
      <c r="I11" s="92">
        <f>SUM(Machon!I85)</f>
        <v>0</v>
      </c>
    </row>
    <row r="12" spans="1:9" s="29" customFormat="1" ht="18" customHeight="1" thickBot="1" thickTop="1">
      <c r="A12" s="36"/>
      <c r="B12" s="37"/>
      <c r="C12" s="39"/>
      <c r="D12" s="38"/>
      <c r="E12" s="38"/>
      <c r="F12" s="38"/>
      <c r="G12" s="38"/>
      <c r="H12" s="38"/>
      <c r="I12" s="38"/>
    </row>
    <row r="13" spans="1:9" s="99" customFormat="1" ht="18" customHeight="1" thickBot="1" thickTop="1">
      <c r="A13" s="97"/>
      <c r="B13" s="91" t="s">
        <v>296</v>
      </c>
      <c r="C13" s="100">
        <f>SUM(Stanley!C86)</f>
        <v>1887436.7400000002</v>
      </c>
      <c r="D13" s="92">
        <f>SUM(Stanley!D86)</f>
        <v>1930378</v>
      </c>
      <c r="E13" s="101">
        <f>SUM(Stanley!E86)</f>
        <v>1416617.6800000002</v>
      </c>
      <c r="F13" s="92">
        <f>SUM(Stanley!F86)</f>
        <v>513760.31999999995</v>
      </c>
      <c r="G13" s="92">
        <f>SUM(Stanley!G86)</f>
        <v>2188890</v>
      </c>
      <c r="H13" s="101">
        <f>SUM(Stanley!H86)</f>
        <v>118867</v>
      </c>
      <c r="I13" s="98">
        <f>SUM(Stanley!I86)</f>
        <v>2307757</v>
      </c>
    </row>
    <row r="14" spans="1:9" s="29" customFormat="1" ht="18" customHeight="1" thickBot="1" thickTop="1">
      <c r="A14" s="36"/>
      <c r="B14" s="37"/>
      <c r="C14" s="39"/>
      <c r="D14" s="38"/>
      <c r="E14" s="38"/>
      <c r="F14" s="38"/>
      <c r="G14" s="38"/>
      <c r="H14" s="38"/>
      <c r="I14" s="38"/>
    </row>
    <row r="15" spans="1:9" ht="18" customHeight="1" thickBot="1" thickTop="1">
      <c r="A15" s="90"/>
      <c r="B15" s="91" t="s">
        <v>297</v>
      </c>
      <c r="C15" s="93">
        <f>SUM(Middle!C117)</f>
        <v>4038187.9299999997</v>
      </c>
      <c r="D15" s="93">
        <f>SUM(Middle!D117)</f>
        <v>3983977.17</v>
      </c>
      <c r="E15" s="93">
        <f>SUM(Middle!E117)</f>
        <v>3090382.69</v>
      </c>
      <c r="F15" s="93">
        <f>SUM(Middle!F117)</f>
        <v>893594.4800000001</v>
      </c>
      <c r="G15" s="93">
        <f>SUM(Middle!G117)</f>
        <v>4399167</v>
      </c>
      <c r="H15" s="93">
        <f>SUM(Middle!H117)</f>
        <v>-94907</v>
      </c>
      <c r="I15" s="93">
        <f>SUM(Middle!I117)</f>
        <v>4304260</v>
      </c>
    </row>
    <row r="16" spans="1:9" s="29" customFormat="1" ht="18" customHeight="1" thickBot="1" thickTop="1">
      <c r="A16" s="49"/>
      <c r="B16" s="37"/>
      <c r="C16" s="39"/>
      <c r="D16" s="38"/>
      <c r="E16" s="38"/>
      <c r="F16" s="38"/>
      <c r="G16" s="38"/>
      <c r="H16" s="38"/>
      <c r="I16" s="38"/>
    </row>
    <row r="17" spans="1:9" ht="18" customHeight="1" thickBot="1" thickTop="1">
      <c r="A17" s="90"/>
      <c r="B17" s="91" t="s">
        <v>298</v>
      </c>
      <c r="C17" s="93">
        <f>SUM(High!C126)</f>
        <v>5385109.41</v>
      </c>
      <c r="D17" s="93">
        <f>SUM(High!D126)</f>
        <v>5747134.83</v>
      </c>
      <c r="E17" s="93">
        <f>SUM(High!E126)</f>
        <v>4393166.87</v>
      </c>
      <c r="F17" s="93">
        <f>SUM(High!F126)</f>
        <v>1353967.96</v>
      </c>
      <c r="G17" s="93">
        <f>SUM(High!G126)</f>
        <v>6491728.33</v>
      </c>
      <c r="H17" s="93">
        <f>SUM(High!H126)</f>
        <v>-283293</v>
      </c>
      <c r="I17" s="93">
        <f>SUM(High!I126)</f>
        <v>6208435.33</v>
      </c>
    </row>
    <row r="18" spans="1:9" s="29" customFormat="1" ht="18" customHeight="1" thickBot="1" thickTop="1">
      <c r="A18" s="49"/>
      <c r="B18" s="37"/>
      <c r="C18" s="39"/>
      <c r="D18" s="38"/>
      <c r="E18" s="38"/>
      <c r="F18" s="38"/>
      <c r="G18" s="38"/>
      <c r="H18" s="38"/>
      <c r="I18" s="38"/>
    </row>
    <row r="19" spans="1:9" ht="18" customHeight="1" thickBot="1" thickTop="1">
      <c r="A19" s="90"/>
      <c r="B19" s="91" t="s">
        <v>299</v>
      </c>
      <c r="C19" s="93">
        <f>SUM(District!C161)</f>
        <v>3808287.7800000003</v>
      </c>
      <c r="D19" s="93">
        <f>SUM(District!D161)</f>
        <v>3709664</v>
      </c>
      <c r="E19" s="93">
        <f>SUM(District!E161)</f>
        <v>3739491.5199999996</v>
      </c>
      <c r="F19" s="93">
        <f>SUM(District!F161)</f>
        <v>-29827.51999999999</v>
      </c>
      <c r="G19" s="93">
        <f>SUM(District!G161)</f>
        <v>4381116</v>
      </c>
      <c r="H19" s="93">
        <f>SUM(District!H161)</f>
        <v>-14668</v>
      </c>
      <c r="I19" s="93">
        <f>SUM(District!I161)</f>
        <v>4366448</v>
      </c>
    </row>
    <row r="20" spans="1:9" s="29" customFormat="1" ht="18" customHeight="1" thickBot="1" thickTop="1">
      <c r="A20" s="49"/>
      <c r="B20" s="37"/>
      <c r="C20" s="94"/>
      <c r="D20" s="38"/>
      <c r="E20" s="38"/>
      <c r="F20" s="38"/>
      <c r="G20" s="38"/>
      <c r="H20" s="38"/>
      <c r="I20" s="38"/>
    </row>
    <row r="21" spans="1:9" ht="18" customHeight="1" thickBot="1" thickTop="1">
      <c r="A21" s="90"/>
      <c r="B21" s="91" t="s">
        <v>302</v>
      </c>
      <c r="C21" s="93"/>
      <c r="D21" s="93"/>
      <c r="E21" s="93"/>
      <c r="F21" s="93"/>
      <c r="G21" s="93"/>
      <c r="H21" s="93"/>
      <c r="I21" s="93">
        <f>H21</f>
        <v>0</v>
      </c>
    </row>
    <row r="22" spans="1:9" s="29" customFormat="1" ht="18" customHeight="1" thickTop="1">
      <c r="A22" s="49"/>
      <c r="B22" s="37"/>
      <c r="C22" s="39"/>
      <c r="D22" s="38">
        <v>0</v>
      </c>
      <c r="E22" s="38"/>
      <c r="F22" s="38"/>
      <c r="G22" s="38"/>
      <c r="H22" s="38"/>
      <c r="I22" s="38"/>
    </row>
    <row r="23" spans="1:9" ht="18" customHeight="1" thickBot="1">
      <c r="A23" s="117" t="s">
        <v>300</v>
      </c>
      <c r="B23" s="118"/>
      <c r="C23" s="58">
        <f aca="true" t="shared" si="0" ref="C23:I23">SUM(C7:C22)</f>
        <v>20302207.95</v>
      </c>
      <c r="D23" s="58">
        <f t="shared" si="0"/>
        <v>20768475.5</v>
      </c>
      <c r="E23" s="58">
        <f t="shared" si="0"/>
        <v>16762162.190000001</v>
      </c>
      <c r="F23" s="58">
        <f t="shared" si="0"/>
        <v>4008480.75</v>
      </c>
      <c r="G23" s="58">
        <f t="shared" si="0"/>
        <v>23139827.33</v>
      </c>
      <c r="H23" s="58">
        <f t="shared" si="0"/>
        <v>-1626437</v>
      </c>
      <c r="I23" s="58">
        <f t="shared" si="0"/>
        <v>21513390.33</v>
      </c>
    </row>
    <row r="24" spans="1:9" s="13" customFormat="1" ht="18" customHeight="1" thickBot="1">
      <c r="A24" s="95"/>
      <c r="B24" s="95"/>
      <c r="C24" s="96">
        <v>20302209</v>
      </c>
      <c r="D24" s="96">
        <v>20768474</v>
      </c>
      <c r="E24" s="96"/>
      <c r="F24" s="96"/>
      <c r="G24" s="96">
        <v>23139827</v>
      </c>
      <c r="H24" s="96"/>
      <c r="I24" s="96">
        <v>21443390</v>
      </c>
    </row>
    <row r="25" spans="3:9" ht="12.75">
      <c r="C25" s="60">
        <f>C23-C24</f>
        <v>-1.050000000745058</v>
      </c>
      <c r="D25" s="60">
        <f>D23-D24</f>
        <v>1.5</v>
      </c>
      <c r="G25" s="60">
        <f>G23-G24</f>
        <v>0.32999999821186066</v>
      </c>
      <c r="I25" s="60">
        <f>I23-I24</f>
        <v>70000.32999999821</v>
      </c>
    </row>
    <row r="29" ht="12.75">
      <c r="I29" s="71"/>
    </row>
    <row r="32" ht="12.75">
      <c r="D32" s="71"/>
    </row>
  </sheetData>
  <mergeCells count="11">
    <mergeCell ref="A23:B23"/>
    <mergeCell ref="G4:G5"/>
    <mergeCell ref="H4:H5"/>
    <mergeCell ref="I4:I5"/>
    <mergeCell ref="F4:F5"/>
    <mergeCell ref="A1:H2"/>
    <mergeCell ref="A3:H3"/>
    <mergeCell ref="A4:B6"/>
    <mergeCell ref="C4:C5"/>
    <mergeCell ref="D4:D5"/>
    <mergeCell ref="E4:E5"/>
  </mergeCells>
  <printOptions/>
  <pageMargins left="0.37" right="0.26" top="0.98" bottom="0.61" header="0.5" footer="0.5"/>
  <pageSetup horizontalDpi="150" verticalDpi="15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E2"/>
  <sheetViews>
    <sheetView workbookViewId="0" topLeftCell="A1">
      <selection activeCell="A1" sqref="A1"/>
    </sheetView>
  </sheetViews>
  <sheetFormatPr defaultColWidth="9.140625" defaultRowHeight="12.75"/>
  <sheetData>
    <row r="2" ht="12.75">
      <c r="E2" t="s">
        <v>317</v>
      </c>
    </row>
  </sheetData>
  <printOptions gridLines="1"/>
  <pageMargins left="0.43" right="0.35" top="1" bottom="1" header="0.5" footer="0.5"/>
  <pageSetup horizontalDpi="150" verticalDpi="15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6"/>
  <sheetViews>
    <sheetView workbookViewId="0" topLeftCell="A1">
      <selection activeCell="A1" sqref="A1:G2"/>
    </sheetView>
  </sheetViews>
  <sheetFormatPr defaultColWidth="9.140625" defaultRowHeight="12.75"/>
  <cols>
    <col min="1" max="1" width="5.57421875" style="0" bestFit="1" customWidth="1"/>
    <col min="2" max="2" width="36.421875" style="0" bestFit="1" customWidth="1"/>
    <col min="3" max="4" width="12.28125" style="0" bestFit="1" customWidth="1"/>
    <col min="5" max="6" width="12.28125" style="0" customWidth="1"/>
    <col min="7" max="7" width="11.28125" style="0" bestFit="1" customWidth="1"/>
    <col min="8" max="9" width="12.28125" style="0" customWidth="1"/>
  </cols>
  <sheetData>
    <row r="1" spans="1:7" s="1" customFormat="1" ht="15.75" customHeight="1">
      <c r="A1" s="102" t="s">
        <v>140</v>
      </c>
      <c r="B1" s="103"/>
      <c r="C1" s="103"/>
      <c r="D1" s="103"/>
      <c r="E1" s="103"/>
      <c r="F1" s="103"/>
      <c r="G1" s="103"/>
    </row>
    <row r="2" spans="1:7" s="1" customFormat="1" ht="18" customHeight="1" thickBot="1">
      <c r="A2" s="105"/>
      <c r="B2" s="106"/>
      <c r="C2" s="106"/>
      <c r="D2" s="106"/>
      <c r="E2" s="106"/>
      <c r="F2" s="106"/>
      <c r="G2" s="106"/>
    </row>
    <row r="3" spans="1:9" s="1" customFormat="1" ht="11.25" customHeight="1">
      <c r="A3" s="109" t="s">
        <v>141</v>
      </c>
      <c r="B3" s="110"/>
      <c r="C3" s="119" t="s">
        <v>0</v>
      </c>
      <c r="D3" s="119"/>
      <c r="E3" s="119" t="s">
        <v>1</v>
      </c>
      <c r="F3" s="119"/>
      <c r="G3" s="115"/>
      <c r="H3" s="119" t="s">
        <v>2</v>
      </c>
      <c r="I3" s="115"/>
    </row>
    <row r="4" spans="1:9" s="1" customFormat="1" ht="12.75">
      <c r="A4" s="111"/>
      <c r="B4" s="112"/>
      <c r="C4" s="120"/>
      <c r="D4" s="120"/>
      <c r="E4" s="120"/>
      <c r="F4" s="120"/>
      <c r="G4" s="116"/>
      <c r="H4" s="120"/>
      <c r="I4" s="116"/>
    </row>
    <row r="5" spans="1:9" s="1" customFormat="1" ht="13.5" thickBot="1">
      <c r="A5" s="111"/>
      <c r="B5" s="112"/>
      <c r="C5" s="2" t="s">
        <v>3</v>
      </c>
      <c r="D5" s="2" t="s">
        <v>139</v>
      </c>
      <c r="E5" s="2" t="s">
        <v>315</v>
      </c>
      <c r="F5" s="2" t="s">
        <v>213</v>
      </c>
      <c r="G5" s="2" t="s">
        <v>4</v>
      </c>
      <c r="H5" s="2" t="s">
        <v>144</v>
      </c>
      <c r="I5" s="2" t="s">
        <v>316</v>
      </c>
    </row>
    <row r="6" spans="1:9" s="1" customFormat="1" ht="13.5" thickBot="1">
      <c r="A6" s="3" t="s">
        <v>5</v>
      </c>
      <c r="B6" s="4" t="s">
        <v>6</v>
      </c>
      <c r="C6" s="5"/>
      <c r="D6" s="5"/>
      <c r="E6" s="5"/>
      <c r="F6" s="5"/>
      <c r="G6" s="5"/>
      <c r="H6" s="5"/>
      <c r="I6" s="5"/>
    </row>
    <row r="7" spans="1:9" s="1" customFormat="1" ht="12.75">
      <c r="A7" s="6"/>
      <c r="B7" s="7" t="s">
        <v>101</v>
      </c>
      <c r="C7" s="9">
        <v>6313</v>
      </c>
      <c r="D7" s="8">
        <v>8000</v>
      </c>
      <c r="E7" s="8">
        <v>7194.06</v>
      </c>
      <c r="F7" s="8">
        <f>D7-E7</f>
        <v>805.9399999999996</v>
      </c>
      <c r="G7" s="8">
        <v>10000</v>
      </c>
      <c r="H7" s="8"/>
      <c r="I7" s="8">
        <f>SUM(G7:H7)</f>
        <v>10000</v>
      </c>
    </row>
    <row r="8" spans="1:9" s="1" customFormat="1" ht="12.75">
      <c r="A8" s="6"/>
      <c r="B8" s="7" t="s">
        <v>8</v>
      </c>
      <c r="C8" s="9">
        <v>12706</v>
      </c>
      <c r="D8" s="8">
        <v>7000</v>
      </c>
      <c r="E8" s="8">
        <v>6026.6</v>
      </c>
      <c r="F8" s="8">
        <f>D8-E8</f>
        <v>973.3999999999996</v>
      </c>
      <c r="G8" s="8">
        <v>15000</v>
      </c>
      <c r="H8" s="8"/>
      <c r="I8" s="8">
        <f>SUM(G8:H8)</f>
        <v>15000</v>
      </c>
    </row>
    <row r="9" spans="1:9" s="1" customFormat="1" ht="13.5" thickBot="1">
      <c r="A9" s="10"/>
      <c r="B9" s="11" t="s">
        <v>9</v>
      </c>
      <c r="C9" s="12">
        <f aca="true" t="shared" si="0" ref="C9:I9">SUM(C7:C8)</f>
        <v>19019</v>
      </c>
      <c r="D9" s="12">
        <f t="shared" si="0"/>
        <v>15000</v>
      </c>
      <c r="E9" s="12">
        <f t="shared" si="0"/>
        <v>13220.66</v>
      </c>
      <c r="F9" s="12">
        <f t="shared" si="0"/>
        <v>1779.3399999999992</v>
      </c>
      <c r="G9" s="12">
        <f t="shared" si="0"/>
        <v>25000</v>
      </c>
      <c r="H9" s="12">
        <f t="shared" si="0"/>
        <v>0</v>
      </c>
      <c r="I9" s="12">
        <f t="shared" si="0"/>
        <v>25000</v>
      </c>
    </row>
    <row r="10" spans="1:9" s="1" customFormat="1" ht="13.5" thickBot="1">
      <c r="A10" s="3" t="s">
        <v>10</v>
      </c>
      <c r="B10" s="4" t="s">
        <v>11</v>
      </c>
      <c r="C10" s="5"/>
      <c r="D10" s="5"/>
      <c r="E10" s="5"/>
      <c r="F10" s="5"/>
      <c r="G10" s="5"/>
      <c r="H10" s="5"/>
      <c r="I10" s="5"/>
    </row>
    <row r="11" spans="1:9" s="1" customFormat="1" ht="12.75">
      <c r="A11" s="6"/>
      <c r="B11" s="13" t="s">
        <v>12</v>
      </c>
      <c r="C11" s="15">
        <v>148380</v>
      </c>
      <c r="D11" s="14">
        <v>140000</v>
      </c>
      <c r="E11" s="21">
        <v>120497.66</v>
      </c>
      <c r="F11" s="8">
        <f>D11-E11</f>
        <v>19502.339999999997</v>
      </c>
      <c r="G11" s="16">
        <v>147200</v>
      </c>
      <c r="H11" s="21"/>
      <c r="I11" s="8">
        <f>SUM(G11:H11)</f>
        <v>147200</v>
      </c>
    </row>
    <row r="12" spans="1:9" s="1" customFormat="1" ht="12.75">
      <c r="A12" s="6"/>
      <c r="B12" s="13" t="s">
        <v>13</v>
      </c>
      <c r="C12" s="15">
        <v>81081</v>
      </c>
      <c r="D12" s="14">
        <v>67323</v>
      </c>
      <c r="E12" s="14">
        <v>68670.82</v>
      </c>
      <c r="F12" s="8">
        <f>D12-E12</f>
        <v>-1347.820000000007</v>
      </c>
      <c r="G12" s="8">
        <v>68076</v>
      </c>
      <c r="H12" s="14"/>
      <c r="I12" s="8">
        <f>SUM(G12:H12)</f>
        <v>68076</v>
      </c>
    </row>
    <row r="13" spans="1:9" s="1" customFormat="1" ht="13.5" thickBot="1">
      <c r="A13" s="18"/>
      <c r="B13" s="11" t="s">
        <v>9</v>
      </c>
      <c r="C13" s="19">
        <f aca="true" t="shared" si="1" ref="C13:I13">SUM(C11:C12)</f>
        <v>229461</v>
      </c>
      <c r="D13" s="19">
        <f t="shared" si="1"/>
        <v>207323</v>
      </c>
      <c r="E13" s="19">
        <f t="shared" si="1"/>
        <v>189168.48</v>
      </c>
      <c r="F13" s="19">
        <f t="shared" si="1"/>
        <v>18154.51999999999</v>
      </c>
      <c r="G13" s="19">
        <f t="shared" si="1"/>
        <v>215276</v>
      </c>
      <c r="H13" s="19">
        <f t="shared" si="1"/>
        <v>0</v>
      </c>
      <c r="I13" s="19">
        <f t="shared" si="1"/>
        <v>215276</v>
      </c>
    </row>
    <row r="14" spans="1:9" s="1" customFormat="1" ht="13.5" thickBot="1">
      <c r="A14" s="3" t="s">
        <v>14</v>
      </c>
      <c r="B14" s="4" t="s">
        <v>15</v>
      </c>
      <c r="C14" s="5"/>
      <c r="D14" s="5"/>
      <c r="E14" s="5"/>
      <c r="F14" s="5"/>
      <c r="G14" s="5"/>
      <c r="H14" s="5"/>
      <c r="I14" s="5"/>
    </row>
    <row r="15" spans="1:9" s="1" customFormat="1" ht="12.75">
      <c r="A15" s="6"/>
      <c r="B15" s="13" t="s">
        <v>12</v>
      </c>
      <c r="C15" s="15">
        <v>98065</v>
      </c>
      <c r="D15" s="14">
        <v>92700</v>
      </c>
      <c r="E15" s="21">
        <v>82665.13</v>
      </c>
      <c r="F15" s="8">
        <f>D15-E15</f>
        <v>10034.869999999995</v>
      </c>
      <c r="G15" s="16">
        <v>106500</v>
      </c>
      <c r="H15" s="21">
        <v>-106500</v>
      </c>
      <c r="I15" s="8">
        <f>SUM(G15:H15)</f>
        <v>0</v>
      </c>
    </row>
    <row r="16" spans="1:9" s="1" customFormat="1" ht="12.75">
      <c r="A16" s="6"/>
      <c r="B16" s="13" t="s">
        <v>13</v>
      </c>
      <c r="C16" s="15">
        <v>112003</v>
      </c>
      <c r="D16" s="14">
        <v>106732</v>
      </c>
      <c r="E16" s="14">
        <v>89691.78</v>
      </c>
      <c r="F16" s="8">
        <f>D16-E16</f>
        <v>17040.22</v>
      </c>
      <c r="G16" s="8">
        <v>107731</v>
      </c>
      <c r="H16" s="14"/>
      <c r="I16" s="8">
        <f>SUM(G16:H16)</f>
        <v>107731</v>
      </c>
    </row>
    <row r="17" spans="1:9" s="1" customFormat="1" ht="13.5" thickBot="1">
      <c r="A17" s="18"/>
      <c r="B17" s="11" t="s">
        <v>9</v>
      </c>
      <c r="C17" s="19">
        <f aca="true" t="shared" si="2" ref="C17:I17">SUM(C15:C16)</f>
        <v>210068</v>
      </c>
      <c r="D17" s="19">
        <f t="shared" si="2"/>
        <v>199432</v>
      </c>
      <c r="E17" s="19">
        <f t="shared" si="2"/>
        <v>172356.91</v>
      </c>
      <c r="F17" s="19">
        <f t="shared" si="2"/>
        <v>27075.089999999997</v>
      </c>
      <c r="G17" s="19">
        <f t="shared" si="2"/>
        <v>214231</v>
      </c>
      <c r="H17" s="19">
        <f t="shared" si="2"/>
        <v>-106500</v>
      </c>
      <c r="I17" s="19">
        <f t="shared" si="2"/>
        <v>107731</v>
      </c>
    </row>
    <row r="18" spans="1:9" s="1" customFormat="1" ht="13.5" thickBot="1">
      <c r="A18" s="3" t="s">
        <v>16</v>
      </c>
      <c r="B18" s="4" t="s">
        <v>134</v>
      </c>
      <c r="C18" s="5"/>
      <c r="D18" s="5"/>
      <c r="E18" s="5"/>
      <c r="F18" s="5"/>
      <c r="G18" s="5"/>
      <c r="H18" s="5"/>
      <c r="I18" s="5"/>
    </row>
    <row r="19" spans="1:9" s="1" customFormat="1" ht="12.75">
      <c r="A19" s="6"/>
      <c r="B19" s="13" t="s">
        <v>135</v>
      </c>
      <c r="C19" s="15">
        <v>0</v>
      </c>
      <c r="D19" s="14">
        <v>167900</v>
      </c>
      <c r="E19" s="21">
        <v>0</v>
      </c>
      <c r="F19" s="8">
        <f>D19-E19</f>
        <v>167900</v>
      </c>
      <c r="G19" s="16">
        <v>598204</v>
      </c>
      <c r="H19" s="21"/>
      <c r="I19" s="8">
        <f>SUM(G19:H19)</f>
        <v>598204</v>
      </c>
    </row>
    <row r="20" spans="1:9" s="1" customFormat="1" ht="12.75">
      <c r="A20" s="6"/>
      <c r="B20" s="7" t="s">
        <v>136</v>
      </c>
      <c r="C20" s="9">
        <v>0</v>
      </c>
      <c r="D20" s="8">
        <v>0</v>
      </c>
      <c r="E20" s="8">
        <v>0</v>
      </c>
      <c r="F20" s="8">
        <f>D20-E20</f>
        <v>0</v>
      </c>
      <c r="G20" s="8">
        <v>21000</v>
      </c>
      <c r="H20" s="8"/>
      <c r="I20" s="8">
        <f>SUM(G20:H20)</f>
        <v>21000</v>
      </c>
    </row>
    <row r="21" spans="1:9" s="1" customFormat="1" ht="13.5" thickBot="1">
      <c r="A21" s="18"/>
      <c r="B21" s="11" t="s">
        <v>9</v>
      </c>
      <c r="C21" s="19">
        <f aca="true" t="shared" si="3" ref="C21:I21">SUM(C19:C20)</f>
        <v>0</v>
      </c>
      <c r="D21" s="19">
        <f t="shared" si="3"/>
        <v>167900</v>
      </c>
      <c r="E21" s="19">
        <f t="shared" si="3"/>
        <v>0</v>
      </c>
      <c r="F21" s="19">
        <f t="shared" si="3"/>
        <v>167900</v>
      </c>
      <c r="G21" s="19">
        <f t="shared" si="3"/>
        <v>619204</v>
      </c>
      <c r="H21" s="19">
        <f t="shared" si="3"/>
        <v>0</v>
      </c>
      <c r="I21" s="19">
        <f t="shared" si="3"/>
        <v>619204</v>
      </c>
    </row>
    <row r="22" spans="1:9" s="1" customFormat="1" ht="13.5" thickBot="1">
      <c r="A22" s="3" t="s">
        <v>17</v>
      </c>
      <c r="B22" s="4" t="s">
        <v>18</v>
      </c>
      <c r="C22" s="5"/>
      <c r="D22" s="5"/>
      <c r="E22" s="5"/>
      <c r="F22" s="5"/>
      <c r="G22" s="5"/>
      <c r="H22" s="5"/>
      <c r="I22" s="5"/>
    </row>
    <row r="23" spans="1:9" s="1" customFormat="1" ht="12.75">
      <c r="A23" s="6"/>
      <c r="B23" s="13" t="s">
        <v>12</v>
      </c>
      <c r="C23" s="15">
        <v>0</v>
      </c>
      <c r="D23" s="14">
        <v>0</v>
      </c>
      <c r="E23" s="14"/>
      <c r="F23" s="8">
        <f aca="true" t="shared" si="4" ref="F23:F30">D23-E23</f>
        <v>0</v>
      </c>
      <c r="G23" s="14">
        <v>0</v>
      </c>
      <c r="H23" s="14">
        <v>85000</v>
      </c>
      <c r="I23" s="8">
        <f aca="true" t="shared" si="5" ref="I23:I30">SUM(G23:H23)</f>
        <v>85000</v>
      </c>
    </row>
    <row r="24" spans="1:9" s="1" customFormat="1" ht="12.75">
      <c r="A24" s="6"/>
      <c r="B24" s="13" t="s">
        <v>13</v>
      </c>
      <c r="C24" s="15">
        <v>0</v>
      </c>
      <c r="D24" s="14">
        <v>0</v>
      </c>
      <c r="E24" s="14"/>
      <c r="F24" s="8">
        <f t="shared" si="4"/>
        <v>0</v>
      </c>
      <c r="G24" s="14">
        <v>0</v>
      </c>
      <c r="H24" s="14"/>
      <c r="I24" s="8">
        <f t="shared" si="5"/>
        <v>0</v>
      </c>
    </row>
    <row r="25" spans="1:9" s="1" customFormat="1" ht="12.75">
      <c r="A25" s="6"/>
      <c r="B25" s="7" t="s">
        <v>309</v>
      </c>
      <c r="C25" s="42">
        <v>0</v>
      </c>
      <c r="D25" s="8">
        <v>0</v>
      </c>
      <c r="E25" s="8">
        <v>7064</v>
      </c>
      <c r="F25" s="8">
        <f>D25-E25</f>
        <v>-7064</v>
      </c>
      <c r="G25" s="8">
        <v>0</v>
      </c>
      <c r="H25" s="8"/>
      <c r="I25" s="8">
        <f>SUM(G25:H25)</f>
        <v>0</v>
      </c>
    </row>
    <row r="26" spans="1:9" s="1" customFormat="1" ht="12.75">
      <c r="A26" s="6"/>
      <c r="B26" s="13" t="s">
        <v>19</v>
      </c>
      <c r="C26" s="15">
        <v>60296</v>
      </c>
      <c r="D26" s="14">
        <v>25000</v>
      </c>
      <c r="E26" s="14">
        <v>23180.07</v>
      </c>
      <c r="F26" s="8">
        <f t="shared" si="4"/>
        <v>1819.9300000000003</v>
      </c>
      <c r="G26" s="14">
        <v>22750</v>
      </c>
      <c r="H26" s="14"/>
      <c r="I26" s="8">
        <f t="shared" si="5"/>
        <v>22750</v>
      </c>
    </row>
    <row r="27" spans="1:9" s="1" customFormat="1" ht="12.75">
      <c r="A27" s="6"/>
      <c r="B27" s="13" t="s">
        <v>107</v>
      </c>
      <c r="C27" s="15">
        <v>3208</v>
      </c>
      <c r="D27" s="14">
        <v>8000</v>
      </c>
      <c r="E27" s="14">
        <v>1903.15</v>
      </c>
      <c r="F27" s="8">
        <f t="shared" si="4"/>
        <v>6096.85</v>
      </c>
      <c r="G27" s="14">
        <v>8000</v>
      </c>
      <c r="H27" s="14"/>
      <c r="I27" s="8">
        <f t="shared" si="5"/>
        <v>8000</v>
      </c>
    </row>
    <row r="28" spans="1:9" s="1" customFormat="1" ht="12.75">
      <c r="A28" s="6"/>
      <c r="B28" s="13" t="s">
        <v>20</v>
      </c>
      <c r="C28" s="15">
        <v>1300</v>
      </c>
      <c r="D28" s="14">
        <v>0</v>
      </c>
      <c r="E28" s="14"/>
      <c r="F28" s="8">
        <f t="shared" si="4"/>
        <v>0</v>
      </c>
      <c r="G28" s="14">
        <v>0</v>
      </c>
      <c r="H28" s="14"/>
      <c r="I28" s="8">
        <f t="shared" si="5"/>
        <v>0</v>
      </c>
    </row>
    <row r="29" spans="1:9" s="1" customFormat="1" ht="12.75">
      <c r="A29" s="6"/>
      <c r="B29" s="13" t="s">
        <v>105</v>
      </c>
      <c r="C29" s="21">
        <v>11354</v>
      </c>
      <c r="D29" s="20">
        <v>15000</v>
      </c>
      <c r="E29" s="20">
        <v>10521.39</v>
      </c>
      <c r="F29" s="8">
        <f t="shared" si="4"/>
        <v>4478.610000000001</v>
      </c>
      <c r="G29" s="20">
        <v>0</v>
      </c>
      <c r="H29" s="20"/>
      <c r="I29" s="8">
        <f t="shared" si="5"/>
        <v>0</v>
      </c>
    </row>
    <row r="30" spans="1:9" s="1" customFormat="1" ht="12.75">
      <c r="A30" s="6"/>
      <c r="B30" s="13" t="s">
        <v>21</v>
      </c>
      <c r="C30" s="22">
        <v>10598</v>
      </c>
      <c r="D30" s="20">
        <v>22000</v>
      </c>
      <c r="E30" s="20">
        <v>21250</v>
      </c>
      <c r="F30" s="8">
        <f t="shared" si="4"/>
        <v>750</v>
      </c>
      <c r="G30" s="20">
        <v>10000</v>
      </c>
      <c r="H30" s="20"/>
      <c r="I30" s="8">
        <f t="shared" si="5"/>
        <v>10000</v>
      </c>
    </row>
    <row r="31" spans="1:9" s="1" customFormat="1" ht="13.5" thickBot="1">
      <c r="A31" s="23"/>
      <c r="B31" s="24" t="s">
        <v>9</v>
      </c>
      <c r="C31" s="25">
        <f aca="true" t="shared" si="6" ref="C31:H31">SUM(C23:C30)</f>
        <v>86756</v>
      </c>
      <c r="D31" s="25">
        <f t="shared" si="6"/>
        <v>70000</v>
      </c>
      <c r="E31" s="25">
        <f t="shared" si="6"/>
        <v>63918.61</v>
      </c>
      <c r="F31" s="25">
        <f t="shared" si="6"/>
        <v>6081.390000000001</v>
      </c>
      <c r="G31" s="25">
        <f t="shared" si="6"/>
        <v>40750</v>
      </c>
      <c r="H31" s="25">
        <f t="shared" si="6"/>
        <v>85000</v>
      </c>
      <c r="I31" s="25">
        <f>SUM(I23:I30)</f>
        <v>125750</v>
      </c>
    </row>
    <row r="32" spans="1:9" s="1" customFormat="1" ht="13.5" thickBot="1">
      <c r="A32" s="3" t="s">
        <v>22</v>
      </c>
      <c r="B32" s="4" t="s">
        <v>23</v>
      </c>
      <c r="C32" s="5"/>
      <c r="D32" s="5"/>
      <c r="E32" s="5"/>
      <c r="F32" s="5"/>
      <c r="G32" s="5"/>
      <c r="H32" s="5"/>
      <c r="I32" s="5"/>
    </row>
    <row r="33" spans="1:9" s="1" customFormat="1" ht="12.75">
      <c r="A33" s="6"/>
      <c r="B33" s="13" t="s">
        <v>13</v>
      </c>
      <c r="C33" s="15">
        <v>0</v>
      </c>
      <c r="D33" s="14">
        <v>0</v>
      </c>
      <c r="E33" s="14">
        <v>0</v>
      </c>
      <c r="F33" s="8">
        <f>D33-E33</f>
        <v>0</v>
      </c>
      <c r="G33" s="14">
        <v>0</v>
      </c>
      <c r="H33" s="14"/>
      <c r="I33" s="8">
        <f>SUM(G33:H33)</f>
        <v>0</v>
      </c>
    </row>
    <row r="34" spans="1:9" s="1" customFormat="1" ht="12.75">
      <c r="A34" s="6"/>
      <c r="B34" s="13" t="s">
        <v>24</v>
      </c>
      <c r="C34" s="15">
        <v>0</v>
      </c>
      <c r="D34" s="20">
        <v>0</v>
      </c>
      <c r="E34" s="20">
        <v>0</v>
      </c>
      <c r="F34" s="8">
        <f>D34-E34</f>
        <v>0</v>
      </c>
      <c r="G34" s="20">
        <v>0</v>
      </c>
      <c r="H34" s="20"/>
      <c r="I34" s="8">
        <f>SUM(G34:H34)</f>
        <v>0</v>
      </c>
    </row>
    <row r="35" spans="1:9" s="1" customFormat="1" ht="13.5" thickBot="1">
      <c r="A35" s="10"/>
      <c r="B35" s="11" t="s">
        <v>9</v>
      </c>
      <c r="C35" s="19">
        <f aca="true" t="shared" si="7" ref="C35:I35">SUM(C33:C34)</f>
        <v>0</v>
      </c>
      <c r="D35" s="19">
        <f t="shared" si="7"/>
        <v>0</v>
      </c>
      <c r="E35" s="19">
        <f t="shared" si="7"/>
        <v>0</v>
      </c>
      <c r="F35" s="19">
        <f t="shared" si="7"/>
        <v>0</v>
      </c>
      <c r="G35" s="19">
        <f t="shared" si="7"/>
        <v>0</v>
      </c>
      <c r="H35" s="19">
        <f t="shared" si="7"/>
        <v>0</v>
      </c>
      <c r="I35" s="19">
        <f t="shared" si="7"/>
        <v>0</v>
      </c>
    </row>
    <row r="36" spans="1:9" s="1" customFormat="1" ht="13.5" thickBot="1">
      <c r="A36" s="3" t="s">
        <v>25</v>
      </c>
      <c r="B36" s="4" t="s">
        <v>308</v>
      </c>
      <c r="C36" s="5"/>
      <c r="D36" s="5"/>
      <c r="E36" s="5"/>
      <c r="F36" s="5"/>
      <c r="G36" s="5"/>
      <c r="H36" s="5"/>
      <c r="I36" s="5"/>
    </row>
    <row r="37" spans="1:9" s="1" customFormat="1" ht="12.75">
      <c r="A37" s="6"/>
      <c r="B37" s="7" t="s">
        <v>26</v>
      </c>
      <c r="C37" s="9">
        <v>5463</v>
      </c>
      <c r="D37" s="8">
        <v>5000</v>
      </c>
      <c r="E37" s="8">
        <v>23609.4</v>
      </c>
      <c r="F37" s="8">
        <f>D37-E37</f>
        <v>-18609.4</v>
      </c>
      <c r="G37" s="8">
        <v>5124</v>
      </c>
      <c r="H37" s="8"/>
      <c r="I37" s="8">
        <f>SUM(G37:H37)</f>
        <v>5124</v>
      </c>
    </row>
    <row r="38" spans="1:9" s="1" customFormat="1" ht="12.75">
      <c r="A38" s="6"/>
      <c r="B38" s="13" t="s">
        <v>27</v>
      </c>
      <c r="C38" s="15">
        <v>11900</v>
      </c>
      <c r="D38" s="14">
        <v>25000</v>
      </c>
      <c r="E38" s="14">
        <v>48976.81</v>
      </c>
      <c r="F38" s="8">
        <f>D38-E38</f>
        <v>-23976.809999999998</v>
      </c>
      <c r="G38" s="14">
        <v>40000</v>
      </c>
      <c r="H38" s="14"/>
      <c r="I38" s="8">
        <f>SUM(G38:H38)</f>
        <v>40000</v>
      </c>
    </row>
    <row r="39" spans="1:9" s="1" customFormat="1" ht="13.5" thickBot="1">
      <c r="A39" s="10"/>
      <c r="B39" s="11" t="s">
        <v>9</v>
      </c>
      <c r="C39" s="12">
        <f aca="true" t="shared" si="8" ref="C39:I39">SUM(C37:C38)</f>
        <v>17363</v>
      </c>
      <c r="D39" s="12">
        <f t="shared" si="8"/>
        <v>30000</v>
      </c>
      <c r="E39" s="12">
        <f t="shared" si="8"/>
        <v>72586.20999999999</v>
      </c>
      <c r="F39" s="12">
        <f t="shared" si="8"/>
        <v>-42586.21</v>
      </c>
      <c r="G39" s="12">
        <f t="shared" si="8"/>
        <v>45124</v>
      </c>
      <c r="H39" s="12">
        <f t="shared" si="8"/>
        <v>0</v>
      </c>
      <c r="I39" s="12">
        <f t="shared" si="8"/>
        <v>45124</v>
      </c>
    </row>
    <row r="40" spans="1:9" s="1" customFormat="1" ht="13.5" thickBot="1">
      <c r="A40" s="3" t="s">
        <v>28</v>
      </c>
      <c r="B40" s="4" t="s">
        <v>29</v>
      </c>
      <c r="C40" s="5"/>
      <c r="D40" s="5"/>
      <c r="E40" s="5"/>
      <c r="F40" s="5"/>
      <c r="G40" s="5"/>
      <c r="H40" s="5"/>
      <c r="I40" s="5"/>
    </row>
    <row r="41" spans="1:9" s="29" customFormat="1" ht="12.75">
      <c r="A41" s="26"/>
      <c r="B41" s="27" t="s">
        <v>7</v>
      </c>
      <c r="C41" s="28">
        <f>39862</f>
        <v>39862</v>
      </c>
      <c r="D41" s="28">
        <v>113245</v>
      </c>
      <c r="E41" s="28">
        <v>100678.62</v>
      </c>
      <c r="F41" s="8">
        <f>D41-E41</f>
        <v>12566.380000000005</v>
      </c>
      <c r="G41" s="28">
        <v>114245</v>
      </c>
      <c r="H41" s="28"/>
      <c r="I41" s="8">
        <f>SUM(G41:H41)</f>
        <v>114245</v>
      </c>
    </row>
    <row r="42" spans="1:9" s="1" customFormat="1" ht="12.75">
      <c r="A42" s="6"/>
      <c r="B42" s="13" t="s">
        <v>30</v>
      </c>
      <c r="C42" s="20">
        <v>1657</v>
      </c>
      <c r="D42" s="20">
        <v>0</v>
      </c>
      <c r="E42" s="20">
        <v>0</v>
      </c>
      <c r="F42" s="8">
        <f>D42-E42</f>
        <v>0</v>
      </c>
      <c r="G42" s="20">
        <v>0</v>
      </c>
      <c r="H42" s="20"/>
      <c r="I42" s="8">
        <f>SUM(G42:H42)</f>
        <v>0</v>
      </c>
    </row>
    <row r="43" spans="1:9" s="1" customFormat="1" ht="12.75">
      <c r="A43" s="6"/>
      <c r="B43" s="13" t="s">
        <v>31</v>
      </c>
      <c r="C43" s="20">
        <v>8989</v>
      </c>
      <c r="D43" s="20">
        <v>0</v>
      </c>
      <c r="E43" s="20">
        <v>0</v>
      </c>
      <c r="F43" s="8">
        <f>D43-E43</f>
        <v>0</v>
      </c>
      <c r="G43" s="20">
        <v>15830</v>
      </c>
      <c r="H43" s="20"/>
      <c r="I43" s="8">
        <f>SUM(G43:H43)</f>
        <v>15830</v>
      </c>
    </row>
    <row r="44" spans="1:9" s="1" customFormat="1" ht="12.75">
      <c r="A44" s="6"/>
      <c r="B44" s="13" t="s">
        <v>32</v>
      </c>
      <c r="C44" s="20">
        <v>0</v>
      </c>
      <c r="D44" s="20">
        <v>0</v>
      </c>
      <c r="E44" s="20">
        <v>0</v>
      </c>
      <c r="F44" s="8">
        <f>D44-E44</f>
        <v>0</v>
      </c>
      <c r="G44" s="20">
        <v>0</v>
      </c>
      <c r="H44" s="20"/>
      <c r="I44" s="8">
        <f>SUM(G44:H44)</f>
        <v>0</v>
      </c>
    </row>
    <row r="45" spans="1:9" s="1" customFormat="1" ht="13.5" thickBot="1">
      <c r="A45" s="30"/>
      <c r="B45" s="31" t="s">
        <v>9</v>
      </c>
      <c r="C45" s="32">
        <f aca="true" t="shared" si="9" ref="C45:I45">SUM(C41:C44)</f>
        <v>50508</v>
      </c>
      <c r="D45" s="32">
        <f t="shared" si="9"/>
        <v>113245</v>
      </c>
      <c r="E45" s="32">
        <f t="shared" si="9"/>
        <v>100678.62</v>
      </c>
      <c r="F45" s="32">
        <f t="shared" si="9"/>
        <v>12566.380000000005</v>
      </c>
      <c r="G45" s="32">
        <f t="shared" si="9"/>
        <v>130075</v>
      </c>
      <c r="H45" s="32">
        <f t="shared" si="9"/>
        <v>0</v>
      </c>
      <c r="I45" s="32">
        <f t="shared" si="9"/>
        <v>130075</v>
      </c>
    </row>
    <row r="46" spans="1:9" s="1" customFormat="1" ht="14.25" thickBot="1" thickTop="1">
      <c r="A46" s="33" t="s">
        <v>33</v>
      </c>
      <c r="B46" s="34" t="s">
        <v>34</v>
      </c>
      <c r="C46" s="35">
        <f aca="true" t="shared" si="10" ref="C46:I46">C45+C39+C35+C31+C21+C17+C13+C9</f>
        <v>613175</v>
      </c>
      <c r="D46" s="35">
        <f t="shared" si="10"/>
        <v>802900</v>
      </c>
      <c r="E46" s="35">
        <f t="shared" si="10"/>
        <v>611929.49</v>
      </c>
      <c r="F46" s="35">
        <f t="shared" si="10"/>
        <v>190970.50999999998</v>
      </c>
      <c r="G46" s="35">
        <f t="shared" si="10"/>
        <v>1289660</v>
      </c>
      <c r="H46" s="35">
        <f t="shared" si="10"/>
        <v>-21500</v>
      </c>
      <c r="I46" s="35">
        <f t="shared" si="10"/>
        <v>1268160</v>
      </c>
    </row>
    <row r="47" spans="1:9" s="29" customFormat="1" ht="14.25" thickBot="1" thickTop="1">
      <c r="A47" s="36"/>
      <c r="B47" s="37"/>
      <c r="C47" s="39"/>
      <c r="D47" s="38"/>
      <c r="E47" s="38"/>
      <c r="F47" s="38"/>
      <c r="G47" s="38"/>
      <c r="H47" s="38"/>
      <c r="I47" s="38"/>
    </row>
    <row r="48" spans="1:9" s="1" customFormat="1" ht="13.5" thickBot="1">
      <c r="A48" s="3" t="s">
        <v>35</v>
      </c>
      <c r="B48" s="4" t="s">
        <v>36</v>
      </c>
      <c r="C48" s="5"/>
      <c r="D48" s="5"/>
      <c r="E48" s="5"/>
      <c r="F48" s="5"/>
      <c r="G48" s="5"/>
      <c r="H48" s="5"/>
      <c r="I48" s="5"/>
    </row>
    <row r="49" spans="1:9" s="1" customFormat="1" ht="12.75">
      <c r="A49" s="6"/>
      <c r="B49" s="7" t="s">
        <v>12</v>
      </c>
      <c r="C49" s="9">
        <v>0</v>
      </c>
      <c r="D49" s="8">
        <v>100000</v>
      </c>
      <c r="E49" s="8">
        <v>70000</v>
      </c>
      <c r="F49" s="8">
        <f>D49-E49</f>
        <v>30000</v>
      </c>
      <c r="G49" s="8">
        <v>100000</v>
      </c>
      <c r="H49" s="8">
        <v>-100000</v>
      </c>
      <c r="I49" s="8">
        <f>SUM(G49:H49)</f>
        <v>0</v>
      </c>
    </row>
    <row r="50" spans="1:9" s="1" customFormat="1" ht="12.75">
      <c r="A50" s="6"/>
      <c r="B50" s="7" t="s">
        <v>13</v>
      </c>
      <c r="C50" s="9">
        <v>0</v>
      </c>
      <c r="D50" s="8">
        <v>0</v>
      </c>
      <c r="E50" s="8">
        <v>0</v>
      </c>
      <c r="F50" s="8">
        <f>D50-E50</f>
        <v>0</v>
      </c>
      <c r="G50" s="8">
        <v>0</v>
      </c>
      <c r="H50" s="8"/>
      <c r="I50" s="8">
        <f>SUM(G50:H50)</f>
        <v>0</v>
      </c>
    </row>
    <row r="51" spans="1:9" s="1" customFormat="1" ht="13.5" thickBot="1">
      <c r="A51" s="10"/>
      <c r="B51" s="11" t="s">
        <v>9</v>
      </c>
      <c r="C51" s="12">
        <f aca="true" t="shared" si="11" ref="C51:I51">SUM(C49:C50)</f>
        <v>0</v>
      </c>
      <c r="D51" s="12">
        <f t="shared" si="11"/>
        <v>100000</v>
      </c>
      <c r="E51" s="12">
        <f t="shared" si="11"/>
        <v>70000</v>
      </c>
      <c r="F51" s="12">
        <f t="shared" si="11"/>
        <v>30000</v>
      </c>
      <c r="G51" s="12">
        <f t="shared" si="11"/>
        <v>100000</v>
      </c>
      <c r="H51" s="12">
        <f t="shared" si="11"/>
        <v>-100000</v>
      </c>
      <c r="I51" s="12">
        <f t="shared" si="11"/>
        <v>0</v>
      </c>
    </row>
    <row r="52" spans="1:9" s="1" customFormat="1" ht="13.5" thickBot="1">
      <c r="A52" s="3" t="s">
        <v>37</v>
      </c>
      <c r="B52" s="4" t="s">
        <v>119</v>
      </c>
      <c r="C52" s="5"/>
      <c r="D52" s="5"/>
      <c r="E52" s="5"/>
      <c r="F52" s="5"/>
      <c r="G52" s="5"/>
      <c r="H52" s="5"/>
      <c r="I52" s="5"/>
    </row>
    <row r="53" spans="1:9" s="1" customFormat="1" ht="12.75">
      <c r="A53" s="6"/>
      <c r="B53" s="7" t="s">
        <v>12</v>
      </c>
      <c r="C53" s="9">
        <v>103403</v>
      </c>
      <c r="D53" s="8">
        <v>100930</v>
      </c>
      <c r="E53" s="8">
        <v>80769.36</v>
      </c>
      <c r="F53" s="8">
        <f aca="true" t="shared" si="12" ref="F53:F58">D53-E53</f>
        <v>20160.64</v>
      </c>
      <c r="G53" s="8">
        <v>102000</v>
      </c>
      <c r="H53" s="8"/>
      <c r="I53" s="8">
        <f aca="true" t="shared" si="13" ref="I53:I58">SUM(G53:H53)</f>
        <v>102000</v>
      </c>
    </row>
    <row r="54" spans="1:9" s="1" customFormat="1" ht="12.75">
      <c r="A54" s="6"/>
      <c r="B54" s="7" t="s">
        <v>13</v>
      </c>
      <c r="C54" s="40">
        <v>81967</v>
      </c>
      <c r="D54" s="8">
        <v>77084</v>
      </c>
      <c r="E54" s="8">
        <v>58963.95</v>
      </c>
      <c r="F54" s="8">
        <f t="shared" si="12"/>
        <v>18120.050000000003</v>
      </c>
      <c r="G54" s="8">
        <v>77084</v>
      </c>
      <c r="H54" s="8"/>
      <c r="I54" s="8">
        <f t="shared" si="13"/>
        <v>77084</v>
      </c>
    </row>
    <row r="55" spans="1:9" s="1" customFormat="1" ht="12.75">
      <c r="A55" s="6"/>
      <c r="B55" s="7" t="s">
        <v>57</v>
      </c>
      <c r="C55" s="42">
        <v>14706</v>
      </c>
      <c r="D55" s="8">
        <v>8000</v>
      </c>
      <c r="E55" s="8">
        <v>9067.64</v>
      </c>
      <c r="F55" s="8">
        <f t="shared" si="12"/>
        <v>-1067.6399999999994</v>
      </c>
      <c r="G55" s="8">
        <v>8200</v>
      </c>
      <c r="H55" s="8"/>
      <c r="I55" s="8">
        <f t="shared" si="13"/>
        <v>8200</v>
      </c>
    </row>
    <row r="56" spans="1:9" s="1" customFormat="1" ht="12.75">
      <c r="A56" s="6"/>
      <c r="B56" s="7" t="s">
        <v>108</v>
      </c>
      <c r="C56" s="42">
        <v>3878</v>
      </c>
      <c r="D56" s="8">
        <v>0</v>
      </c>
      <c r="E56" s="8">
        <v>1724.74</v>
      </c>
      <c r="F56" s="8">
        <f t="shared" si="12"/>
        <v>-1724.74</v>
      </c>
      <c r="G56" s="8">
        <v>0</v>
      </c>
      <c r="H56" s="8"/>
      <c r="I56" s="8">
        <f t="shared" si="13"/>
        <v>0</v>
      </c>
    </row>
    <row r="57" spans="1:9" s="1" customFormat="1" ht="12.75">
      <c r="A57" s="6"/>
      <c r="B57" s="7" t="s">
        <v>110</v>
      </c>
      <c r="C57" s="42">
        <v>1570</v>
      </c>
      <c r="D57" s="8">
        <v>320</v>
      </c>
      <c r="E57" s="8">
        <v>0</v>
      </c>
      <c r="F57" s="8">
        <f t="shared" si="12"/>
        <v>320</v>
      </c>
      <c r="G57" s="8">
        <v>320</v>
      </c>
      <c r="H57" s="8"/>
      <c r="I57" s="8">
        <f t="shared" si="13"/>
        <v>320</v>
      </c>
    </row>
    <row r="58" spans="1:9" s="1" customFormat="1" ht="12.75">
      <c r="A58" s="6"/>
      <c r="B58" s="7" t="s">
        <v>21</v>
      </c>
      <c r="C58" s="42">
        <v>0</v>
      </c>
      <c r="D58" s="8">
        <v>0</v>
      </c>
      <c r="E58" s="8">
        <v>10000</v>
      </c>
      <c r="F58" s="8">
        <f t="shared" si="12"/>
        <v>-10000</v>
      </c>
      <c r="G58" s="8"/>
      <c r="H58" s="8"/>
      <c r="I58" s="8">
        <f t="shared" si="13"/>
        <v>0</v>
      </c>
    </row>
    <row r="59" spans="1:9" s="1" customFormat="1" ht="14.25" customHeight="1" thickBot="1">
      <c r="A59" s="23"/>
      <c r="B59" s="24" t="s">
        <v>9</v>
      </c>
      <c r="C59" s="41">
        <f aca="true" t="shared" si="14" ref="C59:I59">SUM(C53:C58)</f>
        <v>205524</v>
      </c>
      <c r="D59" s="41">
        <f t="shared" si="14"/>
        <v>186334</v>
      </c>
      <c r="E59" s="41">
        <f t="shared" si="14"/>
        <v>160525.69</v>
      </c>
      <c r="F59" s="41">
        <f t="shared" si="14"/>
        <v>25808.310000000005</v>
      </c>
      <c r="G59" s="41">
        <f t="shared" si="14"/>
        <v>187604</v>
      </c>
      <c r="H59" s="41">
        <f t="shared" si="14"/>
        <v>0</v>
      </c>
      <c r="I59" s="41">
        <f t="shared" si="14"/>
        <v>187604</v>
      </c>
    </row>
    <row r="60" spans="1:9" s="1" customFormat="1" ht="13.5" thickBot="1">
      <c r="A60" s="3" t="s">
        <v>38</v>
      </c>
      <c r="B60" s="4" t="s">
        <v>39</v>
      </c>
      <c r="C60" s="5"/>
      <c r="D60" s="5"/>
      <c r="E60" s="5"/>
      <c r="F60" s="5"/>
      <c r="G60" s="5"/>
      <c r="H60" s="5"/>
      <c r="I60" s="5"/>
    </row>
    <row r="61" spans="1:9" s="1" customFormat="1" ht="12.75">
      <c r="A61" s="6"/>
      <c r="B61" s="7" t="s">
        <v>305</v>
      </c>
      <c r="C61" s="9">
        <v>68107</v>
      </c>
      <c r="D61" s="8">
        <v>80843</v>
      </c>
      <c r="E61" s="8">
        <v>158169.38</v>
      </c>
      <c r="F61" s="8">
        <f aca="true" t="shared" si="15" ref="F61:F66">D61-E61</f>
        <v>-77326.38</v>
      </c>
      <c r="G61" s="8"/>
      <c r="H61" s="8"/>
      <c r="I61" s="8">
        <f aca="true" t="shared" si="16" ref="I61:I66">SUM(G61:H61)</f>
        <v>0</v>
      </c>
    </row>
    <row r="62" spans="1:9" s="1" customFormat="1" ht="12.75">
      <c r="A62" s="6"/>
      <c r="B62" s="7" t="s">
        <v>40</v>
      </c>
      <c r="C62" s="9">
        <v>67203</v>
      </c>
      <c r="D62" s="8">
        <v>22917</v>
      </c>
      <c r="E62" s="8">
        <v>32280.22</v>
      </c>
      <c r="F62" s="8">
        <f t="shared" si="15"/>
        <v>-9363.220000000001</v>
      </c>
      <c r="G62" s="8"/>
      <c r="H62" s="8"/>
      <c r="I62" s="8">
        <f t="shared" si="16"/>
        <v>0</v>
      </c>
    </row>
    <row r="63" spans="1:9" s="1" customFormat="1" ht="12.75">
      <c r="A63" s="6"/>
      <c r="B63" s="7" t="s">
        <v>41</v>
      </c>
      <c r="C63" s="9">
        <v>2234</v>
      </c>
      <c r="D63" s="8"/>
      <c r="E63" s="8">
        <v>4613.05</v>
      </c>
      <c r="F63" s="8">
        <f t="shared" si="15"/>
        <v>-4613.05</v>
      </c>
      <c r="G63" s="8"/>
      <c r="H63" s="8"/>
      <c r="I63" s="8">
        <f t="shared" si="16"/>
        <v>0</v>
      </c>
    </row>
    <row r="64" spans="1:9" s="1" customFormat="1" ht="12.75">
      <c r="A64" s="6"/>
      <c r="B64" s="7" t="s">
        <v>42</v>
      </c>
      <c r="C64" s="9">
        <v>0</v>
      </c>
      <c r="D64" s="8">
        <v>0</v>
      </c>
      <c r="E64" s="8">
        <v>0</v>
      </c>
      <c r="F64" s="8">
        <f t="shared" si="15"/>
        <v>0</v>
      </c>
      <c r="G64" s="8"/>
      <c r="H64" s="8"/>
      <c r="I64" s="8">
        <f t="shared" si="16"/>
        <v>0</v>
      </c>
    </row>
    <row r="65" spans="1:9" s="1" customFormat="1" ht="12.75">
      <c r="A65" s="6"/>
      <c r="B65" s="7" t="s">
        <v>43</v>
      </c>
      <c r="C65" s="42">
        <v>0</v>
      </c>
      <c r="D65" s="8">
        <v>0</v>
      </c>
      <c r="E65" s="8">
        <v>0</v>
      </c>
      <c r="F65" s="8">
        <f t="shared" si="15"/>
        <v>0</v>
      </c>
      <c r="G65" s="8"/>
      <c r="H65" s="8"/>
      <c r="I65" s="8">
        <f t="shared" si="16"/>
        <v>0</v>
      </c>
    </row>
    <row r="66" spans="1:9" s="1" customFormat="1" ht="12.75">
      <c r="A66" s="6"/>
      <c r="B66" s="7" t="s">
        <v>44</v>
      </c>
      <c r="C66" s="9">
        <v>277102</v>
      </c>
      <c r="D66" s="8">
        <v>395929</v>
      </c>
      <c r="E66" s="8">
        <v>493695.87</v>
      </c>
      <c r="F66" s="8">
        <f t="shared" si="15"/>
        <v>-97766.87</v>
      </c>
      <c r="G66" s="8">
        <v>456121</v>
      </c>
      <c r="H66" s="8">
        <v>0</v>
      </c>
      <c r="I66" s="8">
        <f t="shared" si="16"/>
        <v>456121</v>
      </c>
    </row>
    <row r="67" spans="1:9" s="1" customFormat="1" ht="13.5" thickBot="1">
      <c r="A67" s="10"/>
      <c r="B67" s="11" t="s">
        <v>9</v>
      </c>
      <c r="C67" s="12">
        <f aca="true" t="shared" si="17" ref="C67:I67">SUM(C61:C66)</f>
        <v>414646</v>
      </c>
      <c r="D67" s="12">
        <f t="shared" si="17"/>
        <v>499689</v>
      </c>
      <c r="E67" s="12">
        <f t="shared" si="17"/>
        <v>688758.52</v>
      </c>
      <c r="F67" s="12">
        <f t="shared" si="17"/>
        <v>-189069.52000000002</v>
      </c>
      <c r="G67" s="12">
        <f t="shared" si="17"/>
        <v>456121</v>
      </c>
      <c r="H67" s="12">
        <f t="shared" si="17"/>
        <v>0</v>
      </c>
      <c r="I67" s="12">
        <f t="shared" si="17"/>
        <v>456121</v>
      </c>
    </row>
    <row r="68" spans="1:9" s="1" customFormat="1" ht="13.5" thickBot="1">
      <c r="A68" s="3" t="s">
        <v>45</v>
      </c>
      <c r="B68" s="4" t="s">
        <v>46</v>
      </c>
      <c r="C68" s="5"/>
      <c r="D68" s="5"/>
      <c r="E68" s="5"/>
      <c r="F68" s="5"/>
      <c r="G68" s="5"/>
      <c r="H68" s="5"/>
      <c r="I68" s="5"/>
    </row>
    <row r="69" spans="1:9" s="1" customFormat="1" ht="12.75">
      <c r="A69" s="6"/>
      <c r="B69" s="7"/>
      <c r="C69" s="42">
        <v>0</v>
      </c>
      <c r="D69" s="8">
        <v>0</v>
      </c>
      <c r="E69" s="8">
        <v>0</v>
      </c>
      <c r="F69" s="8">
        <f>D69-E69</f>
        <v>0</v>
      </c>
      <c r="G69" s="8">
        <v>0</v>
      </c>
      <c r="H69" s="8">
        <v>0</v>
      </c>
      <c r="I69" s="8">
        <f>SUM(G69:H69)</f>
        <v>0</v>
      </c>
    </row>
    <row r="70" spans="1:9" s="1" customFormat="1" ht="13.5" thickBot="1">
      <c r="A70" s="10"/>
      <c r="B70" s="11" t="s">
        <v>9</v>
      </c>
      <c r="C70" s="12">
        <f aca="true" t="shared" si="18" ref="C70:I70">SUM(C69:C69)</f>
        <v>0</v>
      </c>
      <c r="D70" s="12">
        <f t="shared" si="18"/>
        <v>0</v>
      </c>
      <c r="E70" s="12">
        <f t="shared" si="18"/>
        <v>0</v>
      </c>
      <c r="F70" s="12">
        <f t="shared" si="18"/>
        <v>0</v>
      </c>
      <c r="G70" s="12">
        <f t="shared" si="18"/>
        <v>0</v>
      </c>
      <c r="H70" s="12">
        <f t="shared" si="18"/>
        <v>0</v>
      </c>
      <c r="I70" s="12">
        <f t="shared" si="18"/>
        <v>0</v>
      </c>
    </row>
    <row r="71" spans="1:9" s="1" customFormat="1" ht="13.5" thickBot="1">
      <c r="A71" s="3" t="s">
        <v>48</v>
      </c>
      <c r="B71" s="4" t="s">
        <v>142</v>
      </c>
      <c r="C71" s="5"/>
      <c r="D71" s="5"/>
      <c r="E71" s="5"/>
      <c r="F71" s="5"/>
      <c r="G71" s="5"/>
      <c r="H71" s="5"/>
      <c r="I71" s="5"/>
    </row>
    <row r="72" spans="1:9" s="1" customFormat="1" ht="12.75">
      <c r="A72" s="6"/>
      <c r="B72" s="7" t="s">
        <v>143</v>
      </c>
      <c r="C72" s="9">
        <v>0</v>
      </c>
      <c r="D72" s="8">
        <v>0</v>
      </c>
      <c r="E72" s="8"/>
      <c r="F72" s="8"/>
      <c r="G72" s="8">
        <v>86000</v>
      </c>
      <c r="H72" s="8"/>
      <c r="I72" s="8">
        <f>SUM(G72:H72)</f>
        <v>86000</v>
      </c>
    </row>
    <row r="73" spans="1:9" s="1" customFormat="1" ht="13.5" thickBot="1">
      <c r="A73" s="10"/>
      <c r="B73" s="11" t="s">
        <v>9</v>
      </c>
      <c r="C73" s="12">
        <f aca="true" t="shared" si="19" ref="C73:I73">SUM(C72:C72)</f>
        <v>0</v>
      </c>
      <c r="D73" s="12">
        <f t="shared" si="19"/>
        <v>0</v>
      </c>
      <c r="E73" s="12">
        <f t="shared" si="19"/>
        <v>0</v>
      </c>
      <c r="F73" s="12">
        <f t="shared" si="19"/>
        <v>0</v>
      </c>
      <c r="G73" s="12">
        <f t="shared" si="19"/>
        <v>86000</v>
      </c>
      <c r="H73" s="12">
        <f t="shared" si="19"/>
        <v>0</v>
      </c>
      <c r="I73" s="12">
        <f t="shared" si="19"/>
        <v>86000</v>
      </c>
    </row>
    <row r="74" spans="1:9" s="1" customFormat="1" ht="13.5" thickBot="1">
      <c r="A74" s="3" t="s">
        <v>49</v>
      </c>
      <c r="B74" s="4" t="s">
        <v>50</v>
      </c>
      <c r="C74" s="5"/>
      <c r="D74" s="5"/>
      <c r="E74" s="5"/>
      <c r="F74" s="5"/>
      <c r="G74" s="5"/>
      <c r="H74" s="5"/>
      <c r="I74" s="5"/>
    </row>
    <row r="75" spans="1:9" s="1" customFormat="1" ht="12.75">
      <c r="A75" s="6"/>
      <c r="B75" s="7"/>
      <c r="C75" s="42">
        <v>0</v>
      </c>
      <c r="D75" s="8">
        <v>0</v>
      </c>
      <c r="E75" s="8">
        <v>0</v>
      </c>
      <c r="F75" s="8">
        <f>D75-E75</f>
        <v>0</v>
      </c>
      <c r="G75" s="8">
        <v>0</v>
      </c>
      <c r="H75" s="8">
        <v>0</v>
      </c>
      <c r="I75" s="8">
        <f>SUM(G75:H75)</f>
        <v>0</v>
      </c>
    </row>
    <row r="76" spans="1:9" s="1" customFormat="1" ht="13.5" thickBot="1">
      <c r="A76" s="10"/>
      <c r="B76" s="11" t="s">
        <v>9</v>
      </c>
      <c r="C76" s="12">
        <f aca="true" t="shared" si="20" ref="C76:I76">C75</f>
        <v>0</v>
      </c>
      <c r="D76" s="12">
        <f t="shared" si="20"/>
        <v>0</v>
      </c>
      <c r="E76" s="12">
        <f t="shared" si="20"/>
        <v>0</v>
      </c>
      <c r="F76" s="12">
        <f t="shared" si="20"/>
        <v>0</v>
      </c>
      <c r="G76" s="12">
        <f t="shared" si="20"/>
        <v>0</v>
      </c>
      <c r="H76" s="12">
        <f t="shared" si="20"/>
        <v>0</v>
      </c>
      <c r="I76" s="12">
        <f t="shared" si="20"/>
        <v>0</v>
      </c>
    </row>
    <row r="77" spans="1:9" s="1" customFormat="1" ht="13.5" thickBot="1">
      <c r="A77" s="3" t="s">
        <v>51</v>
      </c>
      <c r="B77" s="4" t="s">
        <v>52</v>
      </c>
      <c r="C77" s="5"/>
      <c r="D77" s="5"/>
      <c r="E77" s="5"/>
      <c r="F77" s="5"/>
      <c r="G77" s="5"/>
      <c r="H77" s="5"/>
      <c r="I77" s="5"/>
    </row>
    <row r="78" spans="1:9" s="1" customFormat="1" ht="12.75">
      <c r="A78" s="6"/>
      <c r="B78" s="7" t="s">
        <v>53</v>
      </c>
      <c r="C78" s="9">
        <v>31036</v>
      </c>
      <c r="D78" s="8">
        <v>26591</v>
      </c>
      <c r="E78" s="8">
        <f>53719+6364</f>
        <v>60083</v>
      </c>
      <c r="F78" s="8">
        <f aca="true" t="shared" si="21" ref="F78:F83">D78-E78</f>
        <v>-33492</v>
      </c>
      <c r="G78" s="8">
        <v>71450</v>
      </c>
      <c r="H78" s="8"/>
      <c r="I78" s="8">
        <f aca="true" t="shared" si="22" ref="I78:I83">SUM(G78:H78)</f>
        <v>71450</v>
      </c>
    </row>
    <row r="79" spans="1:9" s="1" customFormat="1" ht="12.75">
      <c r="A79" s="6"/>
      <c r="B79" s="7" t="s">
        <v>125</v>
      </c>
      <c r="C79" s="9">
        <v>136396</v>
      </c>
      <c r="D79" s="8">
        <v>35000</v>
      </c>
      <c r="E79" s="8">
        <v>52530</v>
      </c>
      <c r="F79" s="8">
        <f t="shared" si="21"/>
        <v>-17530</v>
      </c>
      <c r="G79" s="8">
        <v>0</v>
      </c>
      <c r="H79" s="8"/>
      <c r="I79" s="8">
        <f t="shared" si="22"/>
        <v>0</v>
      </c>
    </row>
    <row r="80" spans="1:9" s="1" customFormat="1" ht="12.75">
      <c r="A80" s="6"/>
      <c r="B80" s="13" t="s">
        <v>102</v>
      </c>
      <c r="C80" s="15">
        <v>14327</v>
      </c>
      <c r="D80" s="14"/>
      <c r="E80" s="14"/>
      <c r="F80" s="8">
        <f t="shared" si="21"/>
        <v>0</v>
      </c>
      <c r="G80" s="14">
        <v>7000</v>
      </c>
      <c r="H80" s="14"/>
      <c r="I80" s="8">
        <f t="shared" si="22"/>
        <v>7000</v>
      </c>
    </row>
    <row r="81" spans="1:9" s="1" customFormat="1" ht="12.75">
      <c r="A81" s="6"/>
      <c r="B81" s="13" t="s">
        <v>106</v>
      </c>
      <c r="C81" s="15">
        <v>3850</v>
      </c>
      <c r="D81" s="14">
        <v>15000</v>
      </c>
      <c r="E81" s="14">
        <f>85497.26-70000</f>
        <v>15497.259999999995</v>
      </c>
      <c r="F81" s="8">
        <f t="shared" si="21"/>
        <v>-497.25999999999476</v>
      </c>
      <c r="G81" s="14">
        <v>33000</v>
      </c>
      <c r="H81" s="14"/>
      <c r="I81" s="8">
        <f t="shared" si="22"/>
        <v>33000</v>
      </c>
    </row>
    <row r="82" spans="1:9" s="1" customFormat="1" ht="12.75">
      <c r="A82" s="6"/>
      <c r="B82" s="7" t="s">
        <v>109</v>
      </c>
      <c r="C82" s="42">
        <v>1380</v>
      </c>
      <c r="D82" s="8">
        <v>0</v>
      </c>
      <c r="E82" s="8">
        <v>6560.25</v>
      </c>
      <c r="F82" s="8">
        <f t="shared" si="21"/>
        <v>-6560.25</v>
      </c>
      <c r="G82" s="8">
        <v>3500</v>
      </c>
      <c r="H82" s="8"/>
      <c r="I82" s="8">
        <f t="shared" si="22"/>
        <v>3500</v>
      </c>
    </row>
    <row r="83" spans="1:9" s="1" customFormat="1" ht="12.75">
      <c r="A83" s="6"/>
      <c r="B83" s="13" t="s">
        <v>103</v>
      </c>
      <c r="C83" s="15">
        <v>1707</v>
      </c>
      <c r="D83" s="14">
        <v>0</v>
      </c>
      <c r="E83" s="14">
        <v>2272.78</v>
      </c>
      <c r="F83" s="8">
        <f t="shared" si="21"/>
        <v>-2272.78</v>
      </c>
      <c r="G83" s="14">
        <v>0</v>
      </c>
      <c r="H83" s="14"/>
      <c r="I83" s="8">
        <f t="shared" si="22"/>
        <v>0</v>
      </c>
    </row>
    <row r="84" spans="1:9" s="1" customFormat="1" ht="13.5" thickBot="1">
      <c r="A84" s="10"/>
      <c r="B84" s="11" t="s">
        <v>9</v>
      </c>
      <c r="C84" s="12">
        <f aca="true" t="shared" si="23" ref="C84:I84">SUM(C78:C83)</f>
        <v>188696</v>
      </c>
      <c r="D84" s="12">
        <f t="shared" si="23"/>
        <v>76591</v>
      </c>
      <c r="E84" s="12">
        <f t="shared" si="23"/>
        <v>136943.29</v>
      </c>
      <c r="F84" s="12">
        <f t="shared" si="23"/>
        <v>-60352.28999999999</v>
      </c>
      <c r="G84" s="12">
        <f t="shared" si="23"/>
        <v>114950</v>
      </c>
      <c r="H84" s="12">
        <f t="shared" si="23"/>
        <v>0</v>
      </c>
      <c r="I84" s="12">
        <f t="shared" si="23"/>
        <v>114950</v>
      </c>
    </row>
    <row r="85" spans="1:9" s="1" customFormat="1" ht="13.5" thickBot="1">
      <c r="A85" s="43" t="s">
        <v>54</v>
      </c>
      <c r="B85" s="4" t="s">
        <v>55</v>
      </c>
      <c r="C85" s="5"/>
      <c r="D85" s="5"/>
      <c r="E85" s="5"/>
      <c r="F85" s="5"/>
      <c r="G85" s="5"/>
      <c r="H85" s="5"/>
      <c r="I85" s="5"/>
    </row>
    <row r="86" spans="1:9" s="1" customFormat="1" ht="12.75">
      <c r="A86" s="6"/>
      <c r="B86" s="7"/>
      <c r="C86" s="42">
        <v>0</v>
      </c>
      <c r="D86" s="8">
        <v>0</v>
      </c>
      <c r="E86" s="8">
        <v>0</v>
      </c>
      <c r="F86" s="8">
        <f>D86-E86</f>
        <v>0</v>
      </c>
      <c r="G86" s="8">
        <v>0</v>
      </c>
      <c r="H86" s="8">
        <v>0</v>
      </c>
      <c r="I86" s="8">
        <f>SUM(G86:H86)</f>
        <v>0</v>
      </c>
    </row>
    <row r="87" spans="1:9" s="1" customFormat="1" ht="12.75">
      <c r="A87" s="6"/>
      <c r="B87" s="7"/>
      <c r="C87" s="42">
        <v>0</v>
      </c>
      <c r="D87" s="8">
        <v>0</v>
      </c>
      <c r="E87" s="8">
        <v>0</v>
      </c>
      <c r="F87" s="8">
        <f>D87-E87</f>
        <v>0</v>
      </c>
      <c r="G87" s="8">
        <v>0</v>
      </c>
      <c r="H87" s="8">
        <v>0</v>
      </c>
      <c r="I87" s="8">
        <f>SUM(G87:H87)</f>
        <v>0</v>
      </c>
    </row>
    <row r="88" spans="1:9" s="1" customFormat="1" ht="13.5" thickBot="1">
      <c r="A88" s="23"/>
      <c r="B88" s="24" t="s">
        <v>9</v>
      </c>
      <c r="C88" s="41">
        <f aca="true" t="shared" si="24" ref="C88:I88">SUM(C86:C87)</f>
        <v>0</v>
      </c>
      <c r="D88" s="41">
        <f t="shared" si="24"/>
        <v>0</v>
      </c>
      <c r="E88" s="41">
        <f t="shared" si="24"/>
        <v>0</v>
      </c>
      <c r="F88" s="41">
        <f t="shared" si="24"/>
        <v>0</v>
      </c>
      <c r="G88" s="41">
        <f t="shared" si="24"/>
        <v>0</v>
      </c>
      <c r="H88" s="41">
        <f t="shared" si="24"/>
        <v>0</v>
      </c>
      <c r="I88" s="41">
        <f t="shared" si="24"/>
        <v>0</v>
      </c>
    </row>
    <row r="89" spans="1:9" s="1" customFormat="1" ht="13.5" thickBot="1">
      <c r="A89" s="3" t="s">
        <v>58</v>
      </c>
      <c r="B89" s="4" t="s">
        <v>59</v>
      </c>
      <c r="C89" s="5"/>
      <c r="D89" s="5"/>
      <c r="E89" s="5"/>
      <c r="F89" s="5"/>
      <c r="G89" s="5"/>
      <c r="H89" s="5"/>
      <c r="I89" s="5"/>
    </row>
    <row r="90" spans="1:9" s="1" customFormat="1" ht="12.75">
      <c r="A90" s="6"/>
      <c r="B90" s="7" t="s">
        <v>133</v>
      </c>
      <c r="C90" s="9">
        <v>0</v>
      </c>
      <c r="D90" s="8">
        <v>7100</v>
      </c>
      <c r="E90" s="8">
        <v>485</v>
      </c>
      <c r="F90" s="8">
        <f>D90-E90</f>
        <v>6615</v>
      </c>
      <c r="G90" s="8">
        <v>7596</v>
      </c>
      <c r="H90" s="8"/>
      <c r="I90" s="8">
        <f>SUM(G90:H90)</f>
        <v>7596</v>
      </c>
    </row>
    <row r="91" spans="1:9" s="1" customFormat="1" ht="12.75">
      <c r="A91" s="6"/>
      <c r="B91" s="7" t="s">
        <v>30</v>
      </c>
      <c r="C91" s="9">
        <v>0</v>
      </c>
      <c r="D91" s="8">
        <v>15830</v>
      </c>
      <c r="E91" s="8">
        <v>9948</v>
      </c>
      <c r="F91" s="8">
        <f>D91-E91</f>
        <v>5882</v>
      </c>
      <c r="G91" s="8">
        <v>0</v>
      </c>
      <c r="H91" s="8"/>
      <c r="I91" s="8">
        <f>SUM(G91:H91)</f>
        <v>0</v>
      </c>
    </row>
    <row r="92" spans="1:9" s="1" customFormat="1" ht="13.5" thickBot="1">
      <c r="A92" s="10"/>
      <c r="B92" s="11" t="s">
        <v>9</v>
      </c>
      <c r="C92" s="12">
        <f aca="true" t="shared" si="25" ref="C92:I92">SUM(C90:C91)</f>
        <v>0</v>
      </c>
      <c r="D92" s="12">
        <f t="shared" si="25"/>
        <v>22930</v>
      </c>
      <c r="E92" s="12">
        <f t="shared" si="25"/>
        <v>10433</v>
      </c>
      <c r="F92" s="12">
        <f t="shared" si="25"/>
        <v>12497</v>
      </c>
      <c r="G92" s="12">
        <f t="shared" si="25"/>
        <v>7596</v>
      </c>
      <c r="H92" s="12">
        <f t="shared" si="25"/>
        <v>0</v>
      </c>
      <c r="I92" s="12">
        <f t="shared" si="25"/>
        <v>7596</v>
      </c>
    </row>
    <row r="93" spans="1:9" s="1" customFormat="1" ht="13.5" thickBot="1">
      <c r="A93" s="3" t="s">
        <v>60</v>
      </c>
      <c r="B93" s="4" t="s">
        <v>61</v>
      </c>
      <c r="C93" s="5"/>
      <c r="D93" s="5"/>
      <c r="E93" s="5"/>
      <c r="F93" s="5"/>
      <c r="G93" s="5"/>
      <c r="H93" s="5"/>
      <c r="I93" s="5"/>
    </row>
    <row r="94" spans="1:9" s="1" customFormat="1" ht="12.75">
      <c r="A94" s="6"/>
      <c r="B94" s="7"/>
      <c r="C94" s="42">
        <v>0</v>
      </c>
      <c r="D94" s="8">
        <v>0</v>
      </c>
      <c r="E94" s="8">
        <v>0</v>
      </c>
      <c r="F94" s="8">
        <f>D94-E94</f>
        <v>0</v>
      </c>
      <c r="G94" s="8">
        <v>0</v>
      </c>
      <c r="H94" s="8">
        <v>0</v>
      </c>
      <c r="I94" s="8">
        <f>SUM(G94:H94)</f>
        <v>0</v>
      </c>
    </row>
    <row r="95" spans="1:9" s="1" customFormat="1" ht="13.5" thickBot="1">
      <c r="A95" s="10"/>
      <c r="B95" s="11" t="s">
        <v>9</v>
      </c>
      <c r="C95" s="12">
        <f>SUM(C94:C94)</f>
        <v>0</v>
      </c>
      <c r="D95" s="12">
        <f aca="true" t="shared" si="26" ref="D95:I95">SUM(D94:D94)</f>
        <v>0</v>
      </c>
      <c r="E95" s="12">
        <f t="shared" si="26"/>
        <v>0</v>
      </c>
      <c r="F95" s="12">
        <f t="shared" si="26"/>
        <v>0</v>
      </c>
      <c r="G95" s="12">
        <f t="shared" si="26"/>
        <v>0</v>
      </c>
      <c r="H95" s="12">
        <f t="shared" si="26"/>
        <v>0</v>
      </c>
      <c r="I95" s="12">
        <f t="shared" si="26"/>
        <v>0</v>
      </c>
    </row>
    <row r="96" spans="1:9" s="1" customFormat="1" ht="13.5" thickBot="1">
      <c r="A96" s="3" t="s">
        <v>62</v>
      </c>
      <c r="B96" s="4" t="s">
        <v>63</v>
      </c>
      <c r="C96" s="5"/>
      <c r="D96" s="5"/>
      <c r="E96" s="5"/>
      <c r="F96" s="5"/>
      <c r="G96" s="5"/>
      <c r="H96" s="5"/>
      <c r="I96" s="5"/>
    </row>
    <row r="97" spans="1:9" s="1" customFormat="1" ht="12.75">
      <c r="A97" s="6"/>
      <c r="B97" s="7" t="s">
        <v>12</v>
      </c>
      <c r="C97" s="9">
        <v>69581</v>
      </c>
      <c r="D97" s="8">
        <v>69064</v>
      </c>
      <c r="E97" s="8">
        <v>57015.22</v>
      </c>
      <c r="F97" s="8">
        <f>D97-E97</f>
        <v>12048.779999999999</v>
      </c>
      <c r="G97" s="8"/>
      <c r="H97" s="8"/>
      <c r="I97" s="8">
        <f>SUM(G97:H97)</f>
        <v>0</v>
      </c>
    </row>
    <row r="98" spans="1:9" s="1" customFormat="1" ht="12.75">
      <c r="A98" s="6"/>
      <c r="B98" s="7" t="s">
        <v>111</v>
      </c>
      <c r="C98" s="42">
        <v>7251</v>
      </c>
      <c r="D98" s="8">
        <v>1318</v>
      </c>
      <c r="E98" s="8">
        <v>222.65</v>
      </c>
      <c r="F98" s="8">
        <f>D98-E98</f>
        <v>1095.35</v>
      </c>
      <c r="G98" s="8">
        <v>1351</v>
      </c>
      <c r="H98" s="8"/>
      <c r="I98" s="8">
        <f>SUM(G98:H98)</f>
        <v>1351</v>
      </c>
    </row>
    <row r="99" spans="1:9" s="1" customFormat="1" ht="13.5" thickBot="1">
      <c r="A99" s="10"/>
      <c r="B99" s="11" t="s">
        <v>9</v>
      </c>
      <c r="C99" s="12">
        <f aca="true" t="shared" si="27" ref="C99:I99">SUM(C97:C98)</f>
        <v>76832</v>
      </c>
      <c r="D99" s="12">
        <f t="shared" si="27"/>
        <v>70382</v>
      </c>
      <c r="E99" s="12">
        <f t="shared" si="27"/>
        <v>57237.87</v>
      </c>
      <c r="F99" s="12">
        <f t="shared" si="27"/>
        <v>13144.13</v>
      </c>
      <c r="G99" s="12">
        <f t="shared" si="27"/>
        <v>1351</v>
      </c>
      <c r="H99" s="12">
        <f t="shared" si="27"/>
        <v>0</v>
      </c>
      <c r="I99" s="12">
        <f t="shared" si="27"/>
        <v>1351</v>
      </c>
    </row>
    <row r="100" spans="1:9" s="1" customFormat="1" ht="14.25" thickBot="1" thickTop="1">
      <c r="A100" s="44" t="s">
        <v>64</v>
      </c>
      <c r="B100" s="45" t="s">
        <v>65</v>
      </c>
      <c r="C100" s="46">
        <f>C99+C95+C92+C88+C84+C76+C70+C67+C59+C51</f>
        <v>885698</v>
      </c>
      <c r="D100" s="46">
        <f aca="true" t="shared" si="28" ref="D100:I100">D99+D95+D92+D88+D84+D76+D70+D67+D59+D51+D73</f>
        <v>955926</v>
      </c>
      <c r="E100" s="46">
        <f t="shared" si="28"/>
        <v>1123898.37</v>
      </c>
      <c r="F100" s="46">
        <f t="shared" si="28"/>
        <v>-167972.37000000002</v>
      </c>
      <c r="G100" s="46">
        <f t="shared" si="28"/>
        <v>953622</v>
      </c>
      <c r="H100" s="46">
        <f t="shared" si="28"/>
        <v>-100000</v>
      </c>
      <c r="I100" s="46">
        <f t="shared" si="28"/>
        <v>853622</v>
      </c>
    </row>
    <row r="101" spans="1:9" s="1" customFormat="1" ht="13.5" thickBot="1">
      <c r="A101" s="3" t="s">
        <v>66</v>
      </c>
      <c r="B101" s="4" t="s">
        <v>67</v>
      </c>
      <c r="C101" s="5"/>
      <c r="D101" s="5"/>
      <c r="E101" s="5"/>
      <c r="F101" s="5"/>
      <c r="G101" s="5"/>
      <c r="H101" s="5"/>
      <c r="I101" s="5"/>
    </row>
    <row r="102" spans="1:9" s="1" customFormat="1" ht="12.75">
      <c r="A102" s="6"/>
      <c r="B102" s="7" t="s">
        <v>68</v>
      </c>
      <c r="C102" s="9">
        <v>0</v>
      </c>
      <c r="D102" s="8">
        <v>0</v>
      </c>
      <c r="E102" s="8">
        <v>0</v>
      </c>
      <c r="F102" s="8">
        <v>0</v>
      </c>
      <c r="G102" s="8">
        <v>0</v>
      </c>
      <c r="H102" s="8"/>
      <c r="I102" s="8">
        <f>SUM(G102:H102)</f>
        <v>0</v>
      </c>
    </row>
    <row r="103" spans="1:9" s="1" customFormat="1" ht="13.5" thickBot="1">
      <c r="A103" s="10"/>
      <c r="B103" s="11" t="s">
        <v>9</v>
      </c>
      <c r="C103" s="12">
        <f aca="true" t="shared" si="29" ref="C103:I103">SUM(C102)</f>
        <v>0</v>
      </c>
      <c r="D103" s="12">
        <f t="shared" si="29"/>
        <v>0</v>
      </c>
      <c r="E103" s="12">
        <f t="shared" si="29"/>
        <v>0</v>
      </c>
      <c r="F103" s="12">
        <f t="shared" si="29"/>
        <v>0</v>
      </c>
      <c r="G103" s="12">
        <f t="shared" si="29"/>
        <v>0</v>
      </c>
      <c r="H103" s="12">
        <f t="shared" si="29"/>
        <v>0</v>
      </c>
      <c r="I103" s="12">
        <f t="shared" si="29"/>
        <v>0</v>
      </c>
    </row>
    <row r="104" spans="1:9" s="1" customFormat="1" ht="13.5" thickBot="1">
      <c r="A104" s="3" t="s">
        <v>69</v>
      </c>
      <c r="B104" s="4" t="s">
        <v>70</v>
      </c>
      <c r="C104" s="5"/>
      <c r="D104" s="5"/>
      <c r="E104" s="5"/>
      <c r="F104" s="5"/>
      <c r="G104" s="5"/>
      <c r="H104" s="5"/>
      <c r="I104" s="5"/>
    </row>
    <row r="105" spans="1:9" s="1" customFormat="1" ht="12.75">
      <c r="A105" s="6"/>
      <c r="B105" s="7" t="s">
        <v>114</v>
      </c>
      <c r="C105" s="9">
        <v>4437</v>
      </c>
      <c r="D105" s="8">
        <v>17363</v>
      </c>
      <c r="E105" s="8">
        <v>2060.62</v>
      </c>
      <c r="F105" s="8">
        <f>D105-E105</f>
        <v>15302.380000000001</v>
      </c>
      <c r="G105" s="8">
        <v>17908</v>
      </c>
      <c r="H105" s="8"/>
      <c r="I105" s="8">
        <f>SUM(G105:H105)</f>
        <v>17908</v>
      </c>
    </row>
    <row r="106" spans="1:9" s="1" customFormat="1" ht="12.75">
      <c r="A106" s="6"/>
      <c r="B106" s="7" t="s">
        <v>112</v>
      </c>
      <c r="C106" s="42">
        <v>37572</v>
      </c>
      <c r="D106" s="8"/>
      <c r="E106" s="8">
        <v>28047.81</v>
      </c>
      <c r="F106" s="8">
        <f>D106-E106</f>
        <v>-28047.81</v>
      </c>
      <c r="G106" s="8"/>
      <c r="H106" s="8"/>
      <c r="I106" s="8">
        <f>SUM(G106:H106)</f>
        <v>0</v>
      </c>
    </row>
    <row r="107" spans="1:9" s="1" customFormat="1" ht="12.75">
      <c r="A107" s="6"/>
      <c r="B107" s="7" t="s">
        <v>113</v>
      </c>
      <c r="C107" s="42">
        <v>359567</v>
      </c>
      <c r="D107" s="8">
        <v>460716</v>
      </c>
      <c r="E107" s="8">
        <v>478047.54</v>
      </c>
      <c r="F107" s="8">
        <f>D107-E107</f>
        <v>-17331.53999999998</v>
      </c>
      <c r="G107" s="8">
        <v>420948</v>
      </c>
      <c r="H107" s="8"/>
      <c r="I107" s="8">
        <f>SUM(G107:H107)</f>
        <v>420948</v>
      </c>
    </row>
    <row r="108" spans="1:9" s="1" customFormat="1" ht="13.5" thickBot="1">
      <c r="A108" s="10"/>
      <c r="B108" s="11" t="s">
        <v>9</v>
      </c>
      <c r="C108" s="12">
        <f aca="true" t="shared" si="30" ref="C108:I108">SUM(C105:C107)</f>
        <v>401576</v>
      </c>
      <c r="D108" s="12">
        <f t="shared" si="30"/>
        <v>478079</v>
      </c>
      <c r="E108" s="12">
        <f t="shared" si="30"/>
        <v>508155.97</v>
      </c>
      <c r="F108" s="12">
        <f t="shared" si="30"/>
        <v>-30076.96999999998</v>
      </c>
      <c r="G108" s="12">
        <f t="shared" si="30"/>
        <v>438856</v>
      </c>
      <c r="H108" s="12">
        <f t="shared" si="30"/>
        <v>0</v>
      </c>
      <c r="I108" s="12">
        <f t="shared" si="30"/>
        <v>438856</v>
      </c>
    </row>
    <row r="109" spans="1:9" s="1" customFormat="1" ht="14.25" thickBot="1" thickTop="1">
      <c r="A109" s="33" t="s">
        <v>71</v>
      </c>
      <c r="B109" s="34" t="s">
        <v>72</v>
      </c>
      <c r="C109" s="35">
        <f aca="true" t="shared" si="31" ref="C109:I109">C108+C103</f>
        <v>401576</v>
      </c>
      <c r="D109" s="35">
        <f>D108+D103</f>
        <v>478079</v>
      </c>
      <c r="E109" s="35">
        <f t="shared" si="31"/>
        <v>508155.97</v>
      </c>
      <c r="F109" s="35">
        <f t="shared" si="31"/>
        <v>-30076.96999999998</v>
      </c>
      <c r="G109" s="35">
        <f t="shared" si="31"/>
        <v>438856</v>
      </c>
      <c r="H109" s="35">
        <f t="shared" si="31"/>
        <v>0</v>
      </c>
      <c r="I109" s="35">
        <f t="shared" si="31"/>
        <v>438856</v>
      </c>
    </row>
    <row r="110" spans="1:9" s="29" customFormat="1" ht="14.25" thickBot="1" thickTop="1">
      <c r="A110" s="36"/>
      <c r="B110" s="37"/>
      <c r="C110" s="39"/>
      <c r="D110" s="38"/>
      <c r="E110" s="38"/>
      <c r="F110" s="38"/>
      <c r="G110" s="38"/>
      <c r="H110" s="38"/>
      <c r="I110" s="38"/>
    </row>
    <row r="111" spans="1:9" s="1" customFormat="1" ht="13.5" thickBot="1">
      <c r="A111" s="3" t="s">
        <v>73</v>
      </c>
      <c r="B111" s="4" t="s">
        <v>74</v>
      </c>
      <c r="C111" s="5"/>
      <c r="D111" s="5"/>
      <c r="E111" s="5"/>
      <c r="F111" s="5"/>
      <c r="G111" s="5"/>
      <c r="H111" s="5"/>
      <c r="I111" s="5"/>
    </row>
    <row r="112" spans="1:9" s="1" customFormat="1" ht="12.75">
      <c r="A112" s="6"/>
      <c r="B112" s="7" t="s">
        <v>306</v>
      </c>
      <c r="C112" s="9">
        <v>0</v>
      </c>
      <c r="D112" s="8">
        <v>30900</v>
      </c>
      <c r="E112" s="8">
        <v>0</v>
      </c>
      <c r="F112" s="8">
        <f aca="true" t="shared" si="32" ref="F112:F121">D112-E112</f>
        <v>30900</v>
      </c>
      <c r="G112" s="8">
        <v>0</v>
      </c>
      <c r="H112" s="8"/>
      <c r="I112" s="8">
        <f aca="true" t="shared" si="33" ref="I112:I121">SUM(G112:H112)</f>
        <v>0</v>
      </c>
    </row>
    <row r="113" spans="1:9" s="1" customFormat="1" ht="12.75">
      <c r="A113" s="6"/>
      <c r="B113" s="7" t="s">
        <v>122</v>
      </c>
      <c r="C113" s="9">
        <v>41836.55</v>
      </c>
      <c r="D113" s="8">
        <v>24401</v>
      </c>
      <c r="E113" s="8">
        <v>103117.8</v>
      </c>
      <c r="F113" s="8">
        <f t="shared" si="32"/>
        <v>-78716.8</v>
      </c>
      <c r="G113" s="8">
        <v>25000</v>
      </c>
      <c r="H113" s="8"/>
      <c r="I113" s="8">
        <f t="shared" si="33"/>
        <v>25000</v>
      </c>
    </row>
    <row r="114" spans="1:9" s="1" customFormat="1" ht="12.75">
      <c r="A114" s="6"/>
      <c r="B114" s="7" t="s">
        <v>123</v>
      </c>
      <c r="C114" s="9">
        <v>123607.35</v>
      </c>
      <c r="D114" s="8">
        <v>72854</v>
      </c>
      <c r="E114" s="8">
        <v>66213.45</v>
      </c>
      <c r="F114" s="8">
        <f t="shared" si="32"/>
        <v>6640.550000000003</v>
      </c>
      <c r="G114" s="8">
        <v>74354</v>
      </c>
      <c r="H114" s="8"/>
      <c r="I114" s="8">
        <f t="shared" si="33"/>
        <v>74354</v>
      </c>
    </row>
    <row r="115" spans="1:9" s="1" customFormat="1" ht="12.75">
      <c r="A115" s="6"/>
      <c r="B115" s="7" t="s">
        <v>130</v>
      </c>
      <c r="C115" s="9">
        <v>1191.62</v>
      </c>
      <c r="D115" s="8">
        <v>2000</v>
      </c>
      <c r="E115" s="8">
        <v>1361.14</v>
      </c>
      <c r="F115" s="8">
        <f t="shared" si="32"/>
        <v>638.8599999999999</v>
      </c>
      <c r="G115" s="8">
        <v>2000</v>
      </c>
      <c r="H115" s="8"/>
      <c r="I115" s="8">
        <f t="shared" si="33"/>
        <v>2000</v>
      </c>
    </row>
    <row r="116" spans="1:9" s="1" customFormat="1" ht="12.75">
      <c r="A116" s="6"/>
      <c r="B116" s="13" t="s">
        <v>104</v>
      </c>
      <c r="C116" s="15">
        <v>163301</v>
      </c>
      <c r="D116" s="14">
        <v>0</v>
      </c>
      <c r="E116" s="14"/>
      <c r="F116" s="8">
        <f>D116-E116</f>
        <v>0</v>
      </c>
      <c r="G116" s="14">
        <v>50000</v>
      </c>
      <c r="H116" s="14"/>
      <c r="I116" s="8">
        <f>SUM(G116:H116)</f>
        <v>50000</v>
      </c>
    </row>
    <row r="117" spans="1:9" s="1" customFormat="1" ht="12.75">
      <c r="A117" s="6"/>
      <c r="B117" s="7" t="s">
        <v>120</v>
      </c>
      <c r="C117" s="9">
        <v>4738.9</v>
      </c>
      <c r="D117" s="8"/>
      <c r="E117" s="8"/>
      <c r="F117" s="8">
        <f t="shared" si="32"/>
        <v>0</v>
      </c>
      <c r="G117" s="8"/>
      <c r="H117" s="8"/>
      <c r="I117" s="8">
        <f t="shared" si="33"/>
        <v>0</v>
      </c>
    </row>
    <row r="118" spans="1:9" s="1" customFormat="1" ht="12.75">
      <c r="A118" s="6"/>
      <c r="B118" s="7" t="s">
        <v>131</v>
      </c>
      <c r="C118" s="9">
        <v>4861.44</v>
      </c>
      <c r="D118" s="8">
        <v>5000</v>
      </c>
      <c r="E118" s="8">
        <v>4833.5</v>
      </c>
      <c r="F118" s="8">
        <f t="shared" si="32"/>
        <v>166.5</v>
      </c>
      <c r="G118" s="8">
        <v>5000</v>
      </c>
      <c r="H118" s="8"/>
      <c r="I118" s="8">
        <f t="shared" si="33"/>
        <v>5000</v>
      </c>
    </row>
    <row r="119" spans="1:9" s="1" customFormat="1" ht="12.75">
      <c r="A119" s="6"/>
      <c r="B119" s="7" t="s">
        <v>129</v>
      </c>
      <c r="C119" s="9">
        <v>6631.2</v>
      </c>
      <c r="D119" s="8">
        <v>13000</v>
      </c>
      <c r="E119" s="8">
        <v>16900.36</v>
      </c>
      <c r="F119" s="8">
        <f t="shared" si="32"/>
        <v>-3900.3600000000006</v>
      </c>
      <c r="G119" s="8">
        <v>10000</v>
      </c>
      <c r="H119" s="8"/>
      <c r="I119" s="8">
        <f t="shared" si="33"/>
        <v>10000</v>
      </c>
    </row>
    <row r="120" spans="1:9" s="1" customFormat="1" ht="12.75">
      <c r="A120" s="6"/>
      <c r="B120" s="7" t="s">
        <v>132</v>
      </c>
      <c r="C120" s="9"/>
      <c r="D120" s="8"/>
      <c r="E120" s="8"/>
      <c r="F120" s="8">
        <f t="shared" si="32"/>
        <v>0</v>
      </c>
      <c r="G120" s="8">
        <v>20000</v>
      </c>
      <c r="H120" s="8"/>
      <c r="I120" s="8">
        <f t="shared" si="33"/>
        <v>20000</v>
      </c>
    </row>
    <row r="121" spans="1:9" s="1" customFormat="1" ht="13.5" thickBot="1">
      <c r="A121" s="6"/>
      <c r="B121" s="7" t="s">
        <v>121</v>
      </c>
      <c r="C121" s="9">
        <v>37762.8</v>
      </c>
      <c r="D121" s="8">
        <v>36330</v>
      </c>
      <c r="E121" s="8">
        <v>38441.41</v>
      </c>
      <c r="F121" s="8">
        <f t="shared" si="32"/>
        <v>-2111.4100000000035</v>
      </c>
      <c r="G121" s="8">
        <v>38000</v>
      </c>
      <c r="H121" s="8"/>
      <c r="I121" s="8">
        <f t="shared" si="33"/>
        <v>38000</v>
      </c>
    </row>
    <row r="122" spans="1:9" s="1" customFormat="1" ht="14.25" thickBot="1" thickTop="1">
      <c r="A122" s="33" t="s">
        <v>73</v>
      </c>
      <c r="B122" s="47" t="s">
        <v>75</v>
      </c>
      <c r="C122" s="48">
        <f aca="true" t="shared" si="34" ref="C122:I122">SUM(C112:C121)</f>
        <v>383930.86000000004</v>
      </c>
      <c r="D122" s="48">
        <f>SUM(D112:D121)</f>
        <v>184485</v>
      </c>
      <c r="E122" s="48">
        <f t="shared" si="34"/>
        <v>230867.66</v>
      </c>
      <c r="F122" s="48">
        <f t="shared" si="34"/>
        <v>-46382.66</v>
      </c>
      <c r="G122" s="48">
        <f t="shared" si="34"/>
        <v>224354</v>
      </c>
      <c r="H122" s="48">
        <f t="shared" si="34"/>
        <v>0</v>
      </c>
      <c r="I122" s="48">
        <f t="shared" si="34"/>
        <v>224354</v>
      </c>
    </row>
    <row r="123" spans="1:9" s="29" customFormat="1" ht="11.25" customHeight="1" thickBot="1" thickTop="1">
      <c r="A123" s="49"/>
      <c r="B123" s="37"/>
      <c r="C123" s="39"/>
      <c r="D123" s="38"/>
      <c r="E123" s="38"/>
      <c r="F123" s="38"/>
      <c r="G123" s="38"/>
      <c r="H123" s="38"/>
      <c r="I123" s="38"/>
    </row>
    <row r="124" spans="1:9" s="1" customFormat="1" ht="13.5" thickBot="1">
      <c r="A124" s="43" t="s">
        <v>76</v>
      </c>
      <c r="B124" s="52" t="s">
        <v>77</v>
      </c>
      <c r="C124" s="5"/>
      <c r="D124" s="5"/>
      <c r="E124" s="5"/>
      <c r="F124" s="5"/>
      <c r="G124" s="5"/>
      <c r="H124" s="5"/>
      <c r="I124" s="5"/>
    </row>
    <row r="125" spans="1:9" s="1" customFormat="1" ht="12.75">
      <c r="A125" s="6"/>
      <c r="B125" s="7" t="s">
        <v>128</v>
      </c>
      <c r="C125" s="9">
        <v>0</v>
      </c>
      <c r="D125" s="8">
        <v>21500</v>
      </c>
      <c r="E125" s="8">
        <v>0</v>
      </c>
      <c r="F125" s="8">
        <f aca="true" t="shared" si="35" ref="F125:F133">D125-E125</f>
        <v>21500</v>
      </c>
      <c r="G125" s="8">
        <v>0</v>
      </c>
      <c r="H125" s="8"/>
      <c r="I125" s="8">
        <f aca="true" t="shared" si="36" ref="I125:I133">SUM(G125:H125)</f>
        <v>0</v>
      </c>
    </row>
    <row r="126" spans="1:9" s="1" customFormat="1" ht="12.75">
      <c r="A126" s="6"/>
      <c r="B126" s="7" t="s">
        <v>78</v>
      </c>
      <c r="C126" s="9">
        <v>0</v>
      </c>
      <c r="D126" s="8">
        <v>6000</v>
      </c>
      <c r="E126" s="8">
        <v>0</v>
      </c>
      <c r="F126" s="8">
        <f t="shared" si="35"/>
        <v>6000</v>
      </c>
      <c r="G126" s="8">
        <v>6150</v>
      </c>
      <c r="H126" s="8"/>
      <c r="I126" s="8">
        <f t="shared" si="36"/>
        <v>6150</v>
      </c>
    </row>
    <row r="127" spans="1:9" s="1" customFormat="1" ht="12.75">
      <c r="A127" s="6"/>
      <c r="B127" s="7" t="s">
        <v>79</v>
      </c>
      <c r="C127" s="9">
        <v>0</v>
      </c>
      <c r="D127" s="8">
        <v>0</v>
      </c>
      <c r="E127" s="8">
        <v>0</v>
      </c>
      <c r="F127" s="8">
        <f t="shared" si="35"/>
        <v>0</v>
      </c>
      <c r="G127" s="8">
        <v>0</v>
      </c>
      <c r="H127" s="8"/>
      <c r="I127" s="8">
        <f t="shared" si="36"/>
        <v>0</v>
      </c>
    </row>
    <row r="128" spans="1:9" s="1" customFormat="1" ht="12.75">
      <c r="A128" s="6"/>
      <c r="B128" s="7" t="s">
        <v>80</v>
      </c>
      <c r="C128" s="9">
        <v>0</v>
      </c>
      <c r="D128" s="8">
        <v>0</v>
      </c>
      <c r="E128" s="8">
        <v>0</v>
      </c>
      <c r="F128" s="8">
        <f t="shared" si="35"/>
        <v>0</v>
      </c>
      <c r="G128" s="8">
        <v>0</v>
      </c>
      <c r="H128" s="8"/>
      <c r="I128" s="8">
        <f t="shared" si="36"/>
        <v>0</v>
      </c>
    </row>
    <row r="129" spans="1:9" s="1" customFormat="1" ht="12.75">
      <c r="A129" s="6"/>
      <c r="B129" s="7" t="s">
        <v>81</v>
      </c>
      <c r="C129" s="9">
        <v>2418</v>
      </c>
      <c r="D129" s="8">
        <v>0</v>
      </c>
      <c r="E129" s="8">
        <v>0</v>
      </c>
      <c r="F129" s="8">
        <f t="shared" si="35"/>
        <v>0</v>
      </c>
      <c r="G129" s="8">
        <v>0</v>
      </c>
      <c r="H129" s="8"/>
      <c r="I129" s="8">
        <f t="shared" si="36"/>
        <v>0</v>
      </c>
    </row>
    <row r="130" spans="1:9" s="1" customFormat="1" ht="12.75">
      <c r="A130" s="6"/>
      <c r="B130" s="7" t="s">
        <v>127</v>
      </c>
      <c r="C130" s="9">
        <v>0</v>
      </c>
      <c r="D130" s="8">
        <v>4500</v>
      </c>
      <c r="E130" s="8">
        <v>4279</v>
      </c>
      <c r="F130" s="8">
        <f t="shared" si="35"/>
        <v>221</v>
      </c>
      <c r="G130" s="8">
        <v>0</v>
      </c>
      <c r="H130" s="8"/>
      <c r="I130" s="8">
        <f t="shared" si="36"/>
        <v>0</v>
      </c>
    </row>
    <row r="131" spans="1:9" s="29" customFormat="1" ht="12.75">
      <c r="A131" s="49"/>
      <c r="B131" s="27" t="s">
        <v>82</v>
      </c>
      <c r="C131" s="28">
        <v>10701</v>
      </c>
      <c r="D131" s="8">
        <v>25000</v>
      </c>
      <c r="E131" s="8">
        <v>35599.94</v>
      </c>
      <c r="F131" s="8">
        <f t="shared" si="35"/>
        <v>-10599.940000000002</v>
      </c>
      <c r="G131" s="38">
        <v>55000</v>
      </c>
      <c r="H131" s="8">
        <f>C176</f>
        <v>335832</v>
      </c>
      <c r="I131" s="8">
        <f t="shared" si="36"/>
        <v>390832</v>
      </c>
    </row>
    <row r="132" spans="1:9" s="29" customFormat="1" ht="12.75">
      <c r="A132" s="49"/>
      <c r="B132" s="27" t="s">
        <v>83</v>
      </c>
      <c r="C132" s="28">
        <v>0</v>
      </c>
      <c r="D132" s="8">
        <v>0</v>
      </c>
      <c r="E132" s="8">
        <v>0</v>
      </c>
      <c r="F132" s="8">
        <f t="shared" si="35"/>
        <v>0</v>
      </c>
      <c r="G132" s="38">
        <v>0</v>
      </c>
      <c r="H132" s="8"/>
      <c r="I132" s="8">
        <f t="shared" si="36"/>
        <v>0</v>
      </c>
    </row>
    <row r="133" spans="1:9" s="1" customFormat="1" ht="12.75">
      <c r="A133" s="6"/>
      <c r="B133" s="13" t="s">
        <v>84</v>
      </c>
      <c r="C133" s="9">
        <v>0</v>
      </c>
      <c r="D133" s="8">
        <v>0</v>
      </c>
      <c r="E133" s="8">
        <v>0</v>
      </c>
      <c r="F133" s="8">
        <f t="shared" si="35"/>
        <v>0</v>
      </c>
      <c r="G133" s="8">
        <v>0</v>
      </c>
      <c r="H133" s="8"/>
      <c r="I133" s="8">
        <f t="shared" si="36"/>
        <v>0</v>
      </c>
    </row>
    <row r="134" spans="1:9" s="1" customFormat="1" ht="13.5" thickBot="1">
      <c r="A134" s="18"/>
      <c r="B134" s="11" t="s">
        <v>9</v>
      </c>
      <c r="C134" s="12">
        <f aca="true" t="shared" si="37" ref="C134:I134">SUM(C125:C133)</f>
        <v>13119</v>
      </c>
      <c r="D134" s="12">
        <f t="shared" si="37"/>
        <v>57000</v>
      </c>
      <c r="E134" s="12">
        <f t="shared" si="37"/>
        <v>39878.94</v>
      </c>
      <c r="F134" s="12">
        <f t="shared" si="37"/>
        <v>17121.059999999998</v>
      </c>
      <c r="G134" s="12">
        <f t="shared" si="37"/>
        <v>61150</v>
      </c>
      <c r="H134" s="12">
        <f t="shared" si="37"/>
        <v>335832</v>
      </c>
      <c r="I134" s="12">
        <f t="shared" si="37"/>
        <v>396982</v>
      </c>
    </row>
    <row r="135" spans="1:9" s="1" customFormat="1" ht="13.5" customHeight="1" thickBot="1">
      <c r="A135" s="3" t="s">
        <v>85</v>
      </c>
      <c r="B135" s="4" t="s">
        <v>86</v>
      </c>
      <c r="C135" s="5"/>
      <c r="D135" s="5"/>
      <c r="E135" s="5"/>
      <c r="F135" s="5"/>
      <c r="G135" s="5"/>
      <c r="H135" s="5"/>
      <c r="I135" s="5"/>
    </row>
    <row r="136" spans="1:9" s="29" customFormat="1" ht="12.75">
      <c r="A136" s="49"/>
      <c r="B136" s="27" t="s">
        <v>87</v>
      </c>
      <c r="C136" s="50">
        <v>0</v>
      </c>
      <c r="D136" s="8">
        <v>0</v>
      </c>
      <c r="E136" s="8">
        <v>0</v>
      </c>
      <c r="F136" s="8">
        <v>0</v>
      </c>
      <c r="G136" s="51">
        <v>0</v>
      </c>
      <c r="H136" s="8"/>
      <c r="I136" s="8">
        <f>SUM(G136:H136)</f>
        <v>0</v>
      </c>
    </row>
    <row r="137" spans="1:9" s="1" customFormat="1" ht="13.5" thickBot="1">
      <c r="A137" s="10"/>
      <c r="B137" s="11" t="s">
        <v>9</v>
      </c>
      <c r="C137" s="12">
        <f>SUM(C136:C136)</f>
        <v>0</v>
      </c>
      <c r="D137" s="12">
        <f>SUM(D136:D136)</f>
        <v>0</v>
      </c>
      <c r="E137" s="12"/>
      <c r="F137" s="12"/>
      <c r="G137" s="12">
        <f>SUM(G136:G136)</f>
        <v>0</v>
      </c>
      <c r="H137" s="12"/>
      <c r="I137" s="8">
        <f>SUM(G137:H137)</f>
        <v>0</v>
      </c>
    </row>
    <row r="138" spans="1:9" s="1" customFormat="1" ht="14.25" customHeight="1" thickBot="1" thickTop="1">
      <c r="A138" s="44" t="s">
        <v>88</v>
      </c>
      <c r="B138" s="45" t="s">
        <v>89</v>
      </c>
      <c r="C138" s="53">
        <f aca="true" t="shared" si="38" ref="C138:I138">C134+C137</f>
        <v>13119</v>
      </c>
      <c r="D138" s="53">
        <f t="shared" si="38"/>
        <v>57000</v>
      </c>
      <c r="E138" s="53">
        <f t="shared" si="38"/>
        <v>39878.94</v>
      </c>
      <c r="F138" s="53">
        <f t="shared" si="38"/>
        <v>17121.059999999998</v>
      </c>
      <c r="G138" s="53">
        <f t="shared" si="38"/>
        <v>61150</v>
      </c>
      <c r="H138" s="53">
        <f t="shared" si="38"/>
        <v>335832</v>
      </c>
      <c r="I138" s="53">
        <f t="shared" si="38"/>
        <v>396982</v>
      </c>
    </row>
    <row r="139" spans="1:9" s="1" customFormat="1" ht="13.5" customHeight="1" thickBot="1">
      <c r="A139" s="3" t="s">
        <v>90</v>
      </c>
      <c r="B139" s="4" t="s">
        <v>91</v>
      </c>
      <c r="C139" s="63"/>
      <c r="D139" s="5"/>
      <c r="E139" s="5"/>
      <c r="F139" s="5"/>
      <c r="G139" s="63"/>
      <c r="H139" s="5"/>
      <c r="I139" s="5"/>
    </row>
    <row r="140" spans="1:9" s="29" customFormat="1" ht="12.75">
      <c r="A140" s="49"/>
      <c r="B140" s="27" t="s">
        <v>137</v>
      </c>
      <c r="C140" s="64">
        <v>0</v>
      </c>
      <c r="D140" s="42">
        <v>0</v>
      </c>
      <c r="E140" s="17">
        <v>0</v>
      </c>
      <c r="F140" s="8">
        <f>D140-E140</f>
        <v>0</v>
      </c>
      <c r="G140" s="64">
        <v>100000</v>
      </c>
      <c r="H140" s="42">
        <v>-50000</v>
      </c>
      <c r="I140" s="8">
        <f>SUM(G140:H140)</f>
        <v>50000</v>
      </c>
    </row>
    <row r="141" spans="1:9" s="29" customFormat="1" ht="12.75">
      <c r="A141" s="49"/>
      <c r="B141" s="27" t="s">
        <v>138</v>
      </c>
      <c r="C141" s="28">
        <v>0</v>
      </c>
      <c r="D141" s="8">
        <v>38000</v>
      </c>
      <c r="E141" s="8">
        <v>35000</v>
      </c>
      <c r="F141" s="8">
        <f>D141-E141</f>
        <v>3000</v>
      </c>
      <c r="G141" s="38">
        <v>38000</v>
      </c>
      <c r="H141" s="8"/>
      <c r="I141" s="8">
        <f>SUM(G141:H141)</f>
        <v>38000</v>
      </c>
    </row>
    <row r="142" spans="1:9" s="1" customFormat="1" ht="13.5" thickBot="1">
      <c r="A142" s="18"/>
      <c r="B142" s="11" t="s">
        <v>9</v>
      </c>
      <c r="C142" s="12">
        <f>SUM(C141)</f>
        <v>0</v>
      </c>
      <c r="D142" s="12">
        <f>SUM(D141)</f>
        <v>38000</v>
      </c>
      <c r="E142" s="12">
        <f>SUM(E140:E141)</f>
        <v>35000</v>
      </c>
      <c r="F142" s="12">
        <f>SUM(F140:F141)</f>
        <v>3000</v>
      </c>
      <c r="G142" s="12">
        <f>SUM(G140:G141)</f>
        <v>138000</v>
      </c>
      <c r="H142" s="12">
        <f>SUM(H140:H141)</f>
        <v>-50000</v>
      </c>
      <c r="I142" s="12">
        <f>SUM(I140:I141)</f>
        <v>88000</v>
      </c>
    </row>
    <row r="143" spans="1:9" s="1" customFormat="1" ht="13.5" customHeight="1" thickBot="1">
      <c r="A143" s="3" t="s">
        <v>92</v>
      </c>
      <c r="B143" s="4" t="s">
        <v>93</v>
      </c>
      <c r="C143" s="5"/>
      <c r="D143" s="5"/>
      <c r="E143" s="5"/>
      <c r="F143" s="5"/>
      <c r="G143" s="5"/>
      <c r="H143" s="5"/>
      <c r="I143" s="5"/>
    </row>
    <row r="144" spans="1:9" s="29" customFormat="1" ht="12.75">
      <c r="A144" s="49"/>
      <c r="B144" s="27" t="s">
        <v>94</v>
      </c>
      <c r="C144" s="50">
        <v>0</v>
      </c>
      <c r="D144" s="8">
        <v>0</v>
      </c>
      <c r="E144" s="8">
        <v>0</v>
      </c>
      <c r="F144" s="8">
        <v>0</v>
      </c>
      <c r="G144" s="51">
        <v>0</v>
      </c>
      <c r="H144" s="8"/>
      <c r="I144" s="8">
        <f>SUM(G144:H144)</f>
        <v>0</v>
      </c>
    </row>
    <row r="145" spans="1:9" s="1" customFormat="1" ht="13.5" thickBot="1">
      <c r="A145" s="54"/>
      <c r="B145" s="31" t="s">
        <v>9</v>
      </c>
      <c r="C145" s="55">
        <f>SUM(C144)</f>
        <v>0</v>
      </c>
      <c r="D145" s="55">
        <f>SUM(D144)</f>
        <v>0</v>
      </c>
      <c r="E145" s="55">
        <v>0</v>
      </c>
      <c r="F145" s="55">
        <v>0</v>
      </c>
      <c r="G145" s="55">
        <f>SUM(G144)</f>
        <v>0</v>
      </c>
      <c r="H145" s="55"/>
      <c r="I145" s="8">
        <f>SUM(G145:H145)</f>
        <v>0</v>
      </c>
    </row>
    <row r="146" spans="1:9" s="1" customFormat="1" ht="15.75" customHeight="1" thickBot="1" thickTop="1">
      <c r="A146" s="33" t="s">
        <v>95</v>
      </c>
      <c r="B146" s="34" t="s">
        <v>96</v>
      </c>
      <c r="C146" s="48">
        <f>C141+C145</f>
        <v>0</v>
      </c>
      <c r="D146" s="48">
        <f aca="true" t="shared" si="39" ref="D146:I146">D142+D145</f>
        <v>38000</v>
      </c>
      <c r="E146" s="48">
        <f t="shared" si="39"/>
        <v>35000</v>
      </c>
      <c r="F146" s="48">
        <f t="shared" si="39"/>
        <v>3000</v>
      </c>
      <c r="G146" s="48">
        <f t="shared" si="39"/>
        <v>138000</v>
      </c>
      <c r="H146" s="48">
        <f t="shared" si="39"/>
        <v>-50000</v>
      </c>
      <c r="I146" s="48">
        <f t="shared" si="39"/>
        <v>88000</v>
      </c>
    </row>
    <row r="147" spans="1:9" s="29" customFormat="1" ht="11.25" customHeight="1" thickBot="1" thickTop="1">
      <c r="A147" s="49"/>
      <c r="B147" s="37"/>
      <c r="C147" s="39"/>
      <c r="D147" s="38"/>
      <c r="E147" s="38"/>
      <c r="F147" s="38"/>
      <c r="G147" s="38"/>
      <c r="H147" s="38"/>
      <c r="I147" s="38"/>
    </row>
    <row r="148" spans="1:9" s="1" customFormat="1" ht="13.5" thickBot="1">
      <c r="A148" s="3" t="s">
        <v>97</v>
      </c>
      <c r="B148" s="4" t="s">
        <v>98</v>
      </c>
      <c r="C148" s="5"/>
      <c r="D148" s="5"/>
      <c r="E148" s="5"/>
      <c r="F148" s="5"/>
      <c r="G148" s="5"/>
      <c r="H148" s="5"/>
      <c r="I148" s="5"/>
    </row>
    <row r="149" spans="1:9" s="29" customFormat="1" ht="12.75">
      <c r="A149" s="49"/>
      <c r="B149" s="27" t="s">
        <v>116</v>
      </c>
      <c r="C149" s="50">
        <v>493980</v>
      </c>
      <c r="D149" s="8">
        <v>1034885</v>
      </c>
      <c r="E149" s="8">
        <v>712801.85</v>
      </c>
      <c r="F149" s="8">
        <f aca="true" t="shared" si="40" ref="F149:F154">D149-E149</f>
        <v>322083.15</v>
      </c>
      <c r="G149" s="51">
        <v>1152776</v>
      </c>
      <c r="H149" s="8"/>
      <c r="I149" s="8">
        <f aca="true" t="shared" si="41" ref="I149:I154">SUM(G149:H149)</f>
        <v>1152776</v>
      </c>
    </row>
    <row r="150" spans="1:9" s="29" customFormat="1" ht="12.75">
      <c r="A150" s="49"/>
      <c r="B150" s="27" t="s">
        <v>117</v>
      </c>
      <c r="C150" s="28">
        <v>29540</v>
      </c>
      <c r="D150" s="8">
        <v>40409</v>
      </c>
      <c r="E150" s="8">
        <v>6388</v>
      </c>
      <c r="F150" s="8">
        <f t="shared" si="40"/>
        <v>34021</v>
      </c>
      <c r="G150" s="38">
        <v>0</v>
      </c>
      <c r="H150" s="8"/>
      <c r="I150" s="8">
        <f t="shared" si="41"/>
        <v>0</v>
      </c>
    </row>
    <row r="151" spans="1:9" s="29" customFormat="1" ht="12.75">
      <c r="A151" s="49"/>
      <c r="B151" s="27" t="s">
        <v>155</v>
      </c>
      <c r="C151" s="28">
        <v>0</v>
      </c>
      <c r="D151" s="8">
        <v>0</v>
      </c>
      <c r="E151" s="8">
        <v>0</v>
      </c>
      <c r="F151" s="8">
        <f t="shared" si="40"/>
        <v>0</v>
      </c>
      <c r="G151" s="38">
        <v>0</v>
      </c>
      <c r="H151" s="8">
        <v>-43000</v>
      </c>
      <c r="I151" s="8">
        <f t="shared" si="41"/>
        <v>-43000</v>
      </c>
    </row>
    <row r="152" spans="1:9" s="29" customFormat="1" ht="12.75">
      <c r="A152" s="49"/>
      <c r="B152" s="27" t="s">
        <v>118</v>
      </c>
      <c r="C152" s="28">
        <v>536755</v>
      </c>
      <c r="D152" s="8">
        <v>514044</v>
      </c>
      <c r="E152" s="8">
        <v>460371.24</v>
      </c>
      <c r="F152" s="8">
        <f t="shared" si="40"/>
        <v>53672.76000000001</v>
      </c>
      <c r="G152" s="38">
        <v>558562</v>
      </c>
      <c r="H152" s="8"/>
      <c r="I152" s="8">
        <f t="shared" si="41"/>
        <v>558562</v>
      </c>
    </row>
    <row r="153" spans="1:9" s="29" customFormat="1" ht="12.75">
      <c r="A153" s="49"/>
      <c r="B153" s="27" t="s">
        <v>115</v>
      </c>
      <c r="C153" s="28">
        <v>10200</v>
      </c>
      <c r="D153" s="8">
        <v>0</v>
      </c>
      <c r="E153" s="8">
        <v>10200</v>
      </c>
      <c r="F153" s="8">
        <f t="shared" si="40"/>
        <v>-10200</v>
      </c>
      <c r="G153" s="38">
        <v>10200</v>
      </c>
      <c r="H153" s="8"/>
      <c r="I153" s="8">
        <f t="shared" si="41"/>
        <v>10200</v>
      </c>
    </row>
    <row r="154" spans="1:9" s="29" customFormat="1" ht="13.5" thickBot="1">
      <c r="A154" s="49"/>
      <c r="B154" s="27" t="s">
        <v>126</v>
      </c>
      <c r="C154" s="28">
        <v>0</v>
      </c>
      <c r="D154" s="8">
        <v>-396064</v>
      </c>
      <c r="E154" s="8">
        <v>0</v>
      </c>
      <c r="F154" s="8">
        <f t="shared" si="40"/>
        <v>-396064</v>
      </c>
      <c r="G154" s="38">
        <v>-446064</v>
      </c>
      <c r="H154" s="8">
        <v>-136000</v>
      </c>
      <c r="I154" s="8">
        <f t="shared" si="41"/>
        <v>-582064</v>
      </c>
    </row>
    <row r="155" spans="1:9" s="1" customFormat="1" ht="14.25" thickBot="1" thickTop="1">
      <c r="A155" s="33" t="s">
        <v>97</v>
      </c>
      <c r="B155" s="34" t="s">
        <v>99</v>
      </c>
      <c r="C155" s="48">
        <f aca="true" t="shared" si="42" ref="C155:I155">SUM(C149:C154)</f>
        <v>1070475</v>
      </c>
      <c r="D155" s="48">
        <f>SUM(D149:D154)</f>
        <v>1193274</v>
      </c>
      <c r="E155" s="48">
        <f>SUM(E149:E154)</f>
        <v>1189761.0899999999</v>
      </c>
      <c r="F155" s="48">
        <f>SUM(F149:F154)</f>
        <v>3512.9100000000326</v>
      </c>
      <c r="G155" s="48">
        <f>SUM(G149:G154)</f>
        <v>1275474</v>
      </c>
      <c r="H155" s="48">
        <f t="shared" si="42"/>
        <v>-179000</v>
      </c>
      <c r="I155" s="48">
        <f t="shared" si="42"/>
        <v>1096474</v>
      </c>
    </row>
    <row r="156" spans="1:9" s="1" customFormat="1" ht="11.25" customHeight="1" thickTop="1">
      <c r="A156" s="6"/>
      <c r="B156" s="7"/>
      <c r="C156" s="9"/>
      <c r="D156" s="8"/>
      <c r="E156" s="8"/>
      <c r="F156" s="8"/>
      <c r="G156" s="8"/>
      <c r="H156" s="8"/>
      <c r="I156" s="8"/>
    </row>
    <row r="157" spans="1:9" s="1" customFormat="1" ht="13.5" thickBot="1">
      <c r="A157" s="121" t="s">
        <v>124</v>
      </c>
      <c r="B157" s="122"/>
      <c r="C157" s="56">
        <f>281312.92+8965+150036</f>
        <v>440313.92</v>
      </c>
      <c r="D157" s="56"/>
      <c r="E157" s="56"/>
      <c r="F157" s="56"/>
      <c r="G157" s="56"/>
      <c r="H157" s="56"/>
      <c r="I157" s="56"/>
    </row>
    <row r="158" spans="1:9" s="1" customFormat="1" ht="11.25" customHeight="1" thickTop="1">
      <c r="A158" s="6"/>
      <c r="B158" s="7"/>
      <c r="C158" s="9"/>
      <c r="D158" s="8"/>
      <c r="E158" s="8"/>
      <c r="F158" s="8"/>
      <c r="G158" s="8"/>
      <c r="H158" s="8"/>
      <c r="I158" s="8"/>
    </row>
    <row r="159" spans="1:9" s="1" customFormat="1" ht="13.5" thickBot="1">
      <c r="A159" s="121"/>
      <c r="B159" s="122"/>
      <c r="C159" s="56">
        <v>0</v>
      </c>
      <c r="D159" s="56">
        <v>0</v>
      </c>
      <c r="E159" s="56"/>
      <c r="F159" s="56"/>
      <c r="G159" s="56"/>
      <c r="H159" s="56"/>
      <c r="I159" s="56"/>
    </row>
    <row r="160" spans="1:9" s="1" customFormat="1" ht="11.25" customHeight="1" thickTop="1">
      <c r="A160" s="6"/>
      <c r="B160" s="57"/>
      <c r="C160" s="9"/>
      <c r="D160" s="8"/>
      <c r="E160" s="8"/>
      <c r="F160" s="8"/>
      <c r="G160" s="8"/>
      <c r="H160" s="8"/>
      <c r="I160" s="8"/>
    </row>
    <row r="161" spans="1:9" s="1" customFormat="1" ht="13.5" thickBot="1">
      <c r="A161" s="117" t="s">
        <v>100</v>
      </c>
      <c r="B161" s="118"/>
      <c r="C161" s="58">
        <f aca="true" t="shared" si="43" ref="C161:I161">C155+C146+C138+C122+C109+C100+C46+C157+C159</f>
        <v>3808287.7800000003</v>
      </c>
      <c r="D161" s="58">
        <f t="shared" si="43"/>
        <v>3709664</v>
      </c>
      <c r="E161" s="58">
        <f t="shared" si="43"/>
        <v>3739491.5199999996</v>
      </c>
      <c r="F161" s="58">
        <f t="shared" si="43"/>
        <v>-29827.51999999999</v>
      </c>
      <c r="G161" s="58">
        <f t="shared" si="43"/>
        <v>4381116</v>
      </c>
      <c r="H161" s="58">
        <f t="shared" si="43"/>
        <v>-14668</v>
      </c>
      <c r="I161" s="58">
        <f t="shared" si="43"/>
        <v>4366448</v>
      </c>
    </row>
    <row r="162" spans="1:9" s="1" customFormat="1" ht="12.75">
      <c r="A162" s="59"/>
      <c r="B162" s="7"/>
      <c r="C162" s="60"/>
      <c r="D162" s="60"/>
      <c r="E162" s="60"/>
      <c r="F162" s="60"/>
      <c r="G162" s="60"/>
      <c r="H162" s="60"/>
      <c r="I162" s="60"/>
    </row>
    <row r="163" spans="1:9" s="1" customFormat="1" ht="12.75">
      <c r="A163" s="59"/>
      <c r="B163" s="7"/>
      <c r="C163" s="16"/>
      <c r="D163" s="16"/>
      <c r="E163" s="16"/>
      <c r="F163" s="16"/>
      <c r="G163" s="16"/>
      <c r="H163" s="16"/>
      <c r="I163" s="16"/>
    </row>
    <row r="164" spans="1:9" s="1" customFormat="1" ht="12.75">
      <c r="A164" s="59"/>
      <c r="B164" s="7" t="s">
        <v>145</v>
      </c>
      <c r="C164" s="60"/>
      <c r="D164" s="60"/>
      <c r="E164" s="60"/>
      <c r="F164" s="60"/>
      <c r="G164" s="60"/>
      <c r="H164" s="60"/>
      <c r="I164" s="60"/>
    </row>
    <row r="165" spans="1:9" s="1" customFormat="1" ht="12.75">
      <c r="A165" s="59"/>
      <c r="B165" s="7" t="s">
        <v>15</v>
      </c>
      <c r="C165" s="60">
        <v>31802</v>
      </c>
      <c r="D165" s="60"/>
      <c r="E165" s="60"/>
      <c r="F165" s="60"/>
      <c r="G165" s="60"/>
      <c r="H165" s="60"/>
      <c r="I165" s="60"/>
    </row>
    <row r="166" spans="1:9" s="1" customFormat="1" ht="12.75">
      <c r="A166" s="59"/>
      <c r="B166" s="7" t="s">
        <v>146</v>
      </c>
      <c r="C166" s="60">
        <v>15603</v>
      </c>
      <c r="D166" s="60"/>
      <c r="E166" s="60"/>
      <c r="F166" s="60"/>
      <c r="G166" s="60"/>
      <c r="H166" s="60"/>
      <c r="I166" s="60"/>
    </row>
    <row r="167" spans="1:9" s="1" customFormat="1" ht="12.75">
      <c r="A167" s="59"/>
      <c r="B167" s="7" t="s">
        <v>147</v>
      </c>
      <c r="C167" s="60">
        <v>20570</v>
      </c>
      <c r="D167" s="60"/>
      <c r="E167" s="60"/>
      <c r="F167" s="60"/>
      <c r="G167" s="60"/>
      <c r="H167" s="60"/>
      <c r="I167" s="60"/>
    </row>
    <row r="168" spans="1:9" s="1" customFormat="1" ht="12.75">
      <c r="A168" s="59"/>
      <c r="B168" s="7" t="s">
        <v>151</v>
      </c>
      <c r="C168" s="60">
        <v>7239</v>
      </c>
      <c r="D168" s="60"/>
      <c r="E168" s="60"/>
      <c r="F168" s="60"/>
      <c r="G168" s="60"/>
      <c r="H168" s="60"/>
      <c r="I168" s="60"/>
    </row>
    <row r="169" spans="1:9" s="1" customFormat="1" ht="12.75">
      <c r="A169" s="59"/>
      <c r="B169" s="7" t="s">
        <v>148</v>
      </c>
      <c r="C169" s="60">
        <v>30855</v>
      </c>
      <c r="D169" s="60"/>
      <c r="E169" s="60"/>
      <c r="F169" s="60"/>
      <c r="G169" s="60"/>
      <c r="H169" s="60"/>
      <c r="I169" s="60"/>
    </row>
    <row r="170" spans="2:3" ht="12.75">
      <c r="B170" s="13" t="s">
        <v>149</v>
      </c>
      <c r="C170" s="60">
        <v>13067</v>
      </c>
    </row>
    <row r="171" spans="2:3" ht="12.75">
      <c r="B171" s="13" t="s">
        <v>150</v>
      </c>
      <c r="C171" s="60">
        <v>4826</v>
      </c>
    </row>
    <row r="172" spans="2:3" ht="12.75">
      <c r="B172" s="13" t="s">
        <v>152</v>
      </c>
      <c r="C172" s="60">
        <v>25800</v>
      </c>
    </row>
    <row r="173" spans="2:3" ht="12.75">
      <c r="B173" s="13" t="s">
        <v>153</v>
      </c>
      <c r="C173" s="60">
        <v>30855</v>
      </c>
    </row>
    <row r="174" spans="2:3" ht="12.75">
      <c r="B174" s="13" t="s">
        <v>154</v>
      </c>
      <c r="C174" s="60">
        <v>13067</v>
      </c>
    </row>
    <row r="175" spans="2:3" ht="15">
      <c r="B175" s="13" t="s">
        <v>304</v>
      </c>
      <c r="C175" s="61">
        <v>142148</v>
      </c>
    </row>
    <row r="176" ht="12.75">
      <c r="C176" s="62">
        <f>SUM(C165:C175)</f>
        <v>335832</v>
      </c>
    </row>
  </sheetData>
  <mergeCells count="12">
    <mergeCell ref="H3:H4"/>
    <mergeCell ref="I3:I4"/>
    <mergeCell ref="A157:B157"/>
    <mergeCell ref="A159:B159"/>
    <mergeCell ref="F3:F4"/>
    <mergeCell ref="A161:B161"/>
    <mergeCell ref="A1:G2"/>
    <mergeCell ref="A3:B5"/>
    <mergeCell ref="C3:C4"/>
    <mergeCell ref="D3:D4"/>
    <mergeCell ref="G3:G4"/>
    <mergeCell ref="E3:E4"/>
  </mergeCells>
  <printOptions gridLines="1"/>
  <pageMargins left="0.43" right="0.37" top="1" bottom="0.57" header="0.5" footer="0.5"/>
  <pageSetup horizontalDpi="150" verticalDpi="150" orientation="landscape" r:id="rId1"/>
  <headerFooter alignWithMargins="0">
    <oddFooter>&amp;L&amp;D&amp;C&amp;T&amp;R&amp;P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A1" sqref="A1:G2"/>
    </sheetView>
  </sheetViews>
  <sheetFormatPr defaultColWidth="9.140625" defaultRowHeight="12.75"/>
  <cols>
    <col min="1" max="1" width="5.57421875" style="0" bestFit="1" customWidth="1"/>
    <col min="2" max="2" width="36.00390625" style="0" bestFit="1" customWidth="1"/>
    <col min="3" max="9" width="13.7109375" style="0" customWidth="1"/>
  </cols>
  <sheetData>
    <row r="1" spans="1:7" ht="12.75">
      <c r="A1" s="102" t="s">
        <v>156</v>
      </c>
      <c r="B1" s="103"/>
      <c r="C1" s="103"/>
      <c r="D1" s="103"/>
      <c r="E1" s="103"/>
      <c r="F1" s="103"/>
      <c r="G1" s="103"/>
    </row>
    <row r="2" spans="1:7" ht="13.5" thickBot="1">
      <c r="A2" s="105"/>
      <c r="B2" s="106"/>
      <c r="C2" s="106"/>
      <c r="D2" s="106"/>
      <c r="E2" s="106"/>
      <c r="F2" s="106"/>
      <c r="G2" s="106"/>
    </row>
    <row r="3" spans="1:9" ht="12.75">
      <c r="A3" s="109" t="s">
        <v>157</v>
      </c>
      <c r="B3" s="110"/>
      <c r="C3" s="119" t="s">
        <v>0</v>
      </c>
      <c r="D3" s="115"/>
      <c r="E3" s="119" t="s">
        <v>1</v>
      </c>
      <c r="F3" s="115"/>
      <c r="G3" s="115"/>
      <c r="H3" s="119" t="s">
        <v>2</v>
      </c>
      <c r="I3" s="115"/>
    </row>
    <row r="4" spans="1:9" ht="12.75">
      <c r="A4" s="111"/>
      <c r="B4" s="112"/>
      <c r="C4" s="120"/>
      <c r="D4" s="116"/>
      <c r="E4" s="120"/>
      <c r="F4" s="116"/>
      <c r="G4" s="116"/>
      <c r="H4" s="120"/>
      <c r="I4" s="116"/>
    </row>
    <row r="5" spans="1:9" ht="13.5" thickBot="1">
      <c r="A5" s="111"/>
      <c r="B5" s="112"/>
      <c r="C5" s="2" t="s">
        <v>3</v>
      </c>
      <c r="D5" s="2" t="s">
        <v>139</v>
      </c>
      <c r="E5" s="2" t="s">
        <v>3</v>
      </c>
      <c r="F5" s="2" t="s">
        <v>159</v>
      </c>
      <c r="G5" s="2" t="s">
        <v>160</v>
      </c>
      <c r="H5" s="2" t="s">
        <v>144</v>
      </c>
      <c r="I5" s="2" t="s">
        <v>160</v>
      </c>
    </row>
    <row r="6" spans="1:9" ht="13.5" thickBot="1">
      <c r="A6" s="3" t="s">
        <v>161</v>
      </c>
      <c r="B6" s="4" t="s">
        <v>162</v>
      </c>
      <c r="C6" s="5"/>
      <c r="D6" s="5"/>
      <c r="E6" s="5"/>
      <c r="F6" s="5"/>
      <c r="G6" s="5"/>
      <c r="H6" s="5"/>
      <c r="I6" s="5"/>
    </row>
    <row r="7" spans="1:9" ht="12.75">
      <c r="A7" s="6"/>
      <c r="B7" s="7" t="s">
        <v>47</v>
      </c>
      <c r="C7" s="9">
        <v>91010.84</v>
      </c>
      <c r="D7" s="8">
        <v>88511</v>
      </c>
      <c r="E7" s="8">
        <v>78549.3</v>
      </c>
      <c r="F7" s="8">
        <f>SUM(D7-E7)</f>
        <v>9961.699999999997</v>
      </c>
      <c r="G7" s="8">
        <v>96133</v>
      </c>
      <c r="H7" s="8"/>
      <c r="I7" s="8">
        <f>SUM(G7:H7)</f>
        <v>96133</v>
      </c>
    </row>
    <row r="8" spans="1:9" ht="12.75">
      <c r="A8" s="6"/>
      <c r="B8" s="7" t="s">
        <v>163</v>
      </c>
      <c r="C8" s="9">
        <v>34205.25</v>
      </c>
      <c r="D8" s="8">
        <v>38542</v>
      </c>
      <c r="E8" s="8">
        <v>27124.35</v>
      </c>
      <c r="F8" s="8">
        <f>SUM(D8-E8)</f>
        <v>11417.650000000001</v>
      </c>
      <c r="G8" s="8">
        <v>39042</v>
      </c>
      <c r="H8" s="8"/>
      <c r="I8" s="8">
        <f>SUM(G8:H8)</f>
        <v>39042</v>
      </c>
    </row>
    <row r="9" spans="1:9" ht="12.75">
      <c r="A9" s="6"/>
      <c r="B9" s="7" t="s">
        <v>164</v>
      </c>
      <c r="C9" s="9">
        <v>3126.09</v>
      </c>
      <c r="D9" s="8">
        <v>1000</v>
      </c>
      <c r="E9" s="8">
        <v>1197.57</v>
      </c>
      <c r="F9" s="8">
        <f>SUM(D9-E9)</f>
        <v>-197.56999999999994</v>
      </c>
      <c r="G9" s="8">
        <v>2000</v>
      </c>
      <c r="H9" s="8"/>
      <c r="I9" s="8">
        <f>SUM(G9:H9)</f>
        <v>2000</v>
      </c>
    </row>
    <row r="10" spans="1:9" ht="12.75">
      <c r="A10" s="6"/>
      <c r="B10" s="7" t="s">
        <v>165</v>
      </c>
      <c r="C10" s="9">
        <v>1145.16</v>
      </c>
      <c r="D10" s="8">
        <v>800</v>
      </c>
      <c r="E10" s="8">
        <v>252.67</v>
      </c>
      <c r="F10" s="8">
        <f>SUM(D10-E10)</f>
        <v>547.33</v>
      </c>
      <c r="G10" s="8">
        <v>0</v>
      </c>
      <c r="H10" s="8"/>
      <c r="I10" s="8">
        <f>SUM(G10:H10)</f>
        <v>0</v>
      </c>
    </row>
    <row r="11" spans="1:9" ht="12.75">
      <c r="A11" s="6"/>
      <c r="B11" s="7" t="s">
        <v>167</v>
      </c>
      <c r="C11" s="9">
        <v>2754.78</v>
      </c>
      <c r="D11" s="8">
        <v>7000</v>
      </c>
      <c r="E11" s="8">
        <v>2049.86</v>
      </c>
      <c r="F11" s="8">
        <f>SUM(D11-E11)</f>
        <v>4950.139999999999</v>
      </c>
      <c r="G11" s="8">
        <v>7000</v>
      </c>
      <c r="H11" s="8"/>
      <c r="I11" s="8">
        <f>SUM(G11:H11)</f>
        <v>7000</v>
      </c>
    </row>
    <row r="12" spans="1:9" ht="13.5" thickBot="1">
      <c r="A12" s="18"/>
      <c r="B12" s="11" t="s">
        <v>9</v>
      </c>
      <c r="C12" s="19">
        <f aca="true" t="shared" si="0" ref="C12:I12">SUM(C7:C11)</f>
        <v>132242.12</v>
      </c>
      <c r="D12" s="19">
        <f t="shared" si="0"/>
        <v>135853</v>
      </c>
      <c r="E12" s="19">
        <f t="shared" si="0"/>
        <v>109173.75</v>
      </c>
      <c r="F12" s="19">
        <f t="shared" si="0"/>
        <v>26679.25</v>
      </c>
      <c r="G12" s="19">
        <f t="shared" si="0"/>
        <v>144175</v>
      </c>
      <c r="H12" s="19">
        <f t="shared" si="0"/>
        <v>0</v>
      </c>
      <c r="I12" s="19">
        <f t="shared" si="0"/>
        <v>144175</v>
      </c>
    </row>
    <row r="13" spans="1:9" ht="13.5" thickBot="1">
      <c r="A13" s="3" t="s">
        <v>168</v>
      </c>
      <c r="B13" s="4" t="s">
        <v>169</v>
      </c>
      <c r="C13" s="5"/>
      <c r="D13" s="5"/>
      <c r="E13" s="5"/>
      <c r="F13" s="5"/>
      <c r="G13" s="5"/>
      <c r="H13" s="5"/>
      <c r="I13" s="5"/>
    </row>
    <row r="14" spans="1:9" ht="12.75">
      <c r="A14" s="6"/>
      <c r="B14" s="13" t="s">
        <v>170</v>
      </c>
      <c r="C14" s="15">
        <v>64191.44</v>
      </c>
      <c r="D14" s="14">
        <v>59758</v>
      </c>
      <c r="E14" s="14">
        <v>51375.83</v>
      </c>
      <c r="F14" s="8">
        <f aca="true" t="shared" si="1" ref="F14:F20">SUM(D14-E14)</f>
        <v>8382.169999999998</v>
      </c>
      <c r="G14" s="14">
        <v>62663</v>
      </c>
      <c r="H14" s="14"/>
      <c r="I14" s="8">
        <f aca="true" t="shared" si="2" ref="I14:I20">SUM(G14:H14)</f>
        <v>62663</v>
      </c>
    </row>
    <row r="15" spans="1:9" ht="12.75">
      <c r="A15" s="6"/>
      <c r="B15" s="13" t="s">
        <v>171</v>
      </c>
      <c r="C15" s="15">
        <v>701054.78</v>
      </c>
      <c r="D15" s="14">
        <v>692781</v>
      </c>
      <c r="E15" s="14">
        <v>512244.95</v>
      </c>
      <c r="F15" s="8">
        <f t="shared" si="1"/>
        <v>180536.05</v>
      </c>
      <c r="G15" s="14">
        <v>734343</v>
      </c>
      <c r="H15" s="14"/>
      <c r="I15" s="8">
        <f t="shared" si="2"/>
        <v>734343</v>
      </c>
    </row>
    <row r="16" spans="1:9" ht="12.75">
      <c r="A16" s="6"/>
      <c r="B16" s="13" t="s">
        <v>172</v>
      </c>
      <c r="C16" s="15">
        <v>60619.02</v>
      </c>
      <c r="D16" s="14">
        <v>67368</v>
      </c>
      <c r="E16" s="14">
        <v>70180.67</v>
      </c>
      <c r="F16" s="8">
        <f t="shared" si="1"/>
        <v>-2812.6699999999983</v>
      </c>
      <c r="G16" s="14">
        <v>66199</v>
      </c>
      <c r="H16" s="14"/>
      <c r="I16" s="8">
        <f t="shared" si="2"/>
        <v>66199</v>
      </c>
    </row>
    <row r="17" spans="1:9" ht="12.75">
      <c r="A17" s="6"/>
      <c r="B17" s="7" t="s">
        <v>173</v>
      </c>
      <c r="C17" s="9">
        <v>33940.21</v>
      </c>
      <c r="D17" s="8">
        <v>34281</v>
      </c>
      <c r="E17" s="8">
        <v>27303.04</v>
      </c>
      <c r="F17" s="8">
        <f t="shared" si="1"/>
        <v>6977.959999999999</v>
      </c>
      <c r="G17" s="8">
        <v>36884</v>
      </c>
      <c r="H17" s="8"/>
      <c r="I17" s="8">
        <f t="shared" si="2"/>
        <v>36884</v>
      </c>
    </row>
    <row r="18" spans="1:9" ht="12.75">
      <c r="A18" s="6"/>
      <c r="B18" s="7" t="s">
        <v>303</v>
      </c>
      <c r="C18" s="9"/>
      <c r="D18" s="8"/>
      <c r="E18" s="8"/>
      <c r="F18" s="8"/>
      <c r="G18" s="8"/>
      <c r="H18" s="8">
        <v>131870</v>
      </c>
      <c r="I18" s="8">
        <f>SUM(G18:H18)</f>
        <v>131870</v>
      </c>
    </row>
    <row r="19" spans="1:9" ht="12.75">
      <c r="A19" s="6"/>
      <c r="B19" s="7" t="s">
        <v>174</v>
      </c>
      <c r="C19" s="9">
        <v>6836</v>
      </c>
      <c r="D19" s="17">
        <v>3200</v>
      </c>
      <c r="E19" s="17">
        <v>3200</v>
      </c>
      <c r="F19" s="8">
        <f t="shared" si="1"/>
        <v>0</v>
      </c>
      <c r="G19" s="17">
        <v>0</v>
      </c>
      <c r="H19" s="17"/>
      <c r="I19" s="8">
        <f t="shared" si="2"/>
        <v>0</v>
      </c>
    </row>
    <row r="20" spans="1:9" ht="12.75">
      <c r="A20" s="6"/>
      <c r="B20" s="7" t="s">
        <v>175</v>
      </c>
      <c r="C20" s="9">
        <v>0</v>
      </c>
      <c r="D20" s="17">
        <v>0</v>
      </c>
      <c r="E20" s="17"/>
      <c r="F20" s="8">
        <f t="shared" si="1"/>
        <v>0</v>
      </c>
      <c r="G20" s="17">
        <v>0</v>
      </c>
      <c r="H20" s="17"/>
      <c r="I20" s="8">
        <f t="shared" si="2"/>
        <v>0</v>
      </c>
    </row>
    <row r="21" spans="1:9" ht="13.5" thickBot="1">
      <c r="A21" s="18"/>
      <c r="B21" s="11" t="s">
        <v>9</v>
      </c>
      <c r="C21" s="19">
        <f aca="true" t="shared" si="3" ref="C21:I21">SUM(C14:C20)</f>
        <v>866641.45</v>
      </c>
      <c r="D21" s="19">
        <f t="shared" si="3"/>
        <v>857388</v>
      </c>
      <c r="E21" s="19">
        <f t="shared" si="3"/>
        <v>664304.4900000001</v>
      </c>
      <c r="F21" s="19">
        <f t="shared" si="3"/>
        <v>193083.50999999998</v>
      </c>
      <c r="G21" s="19">
        <f t="shared" si="3"/>
        <v>900089</v>
      </c>
      <c r="H21" s="19">
        <f t="shared" si="3"/>
        <v>131870</v>
      </c>
      <c r="I21" s="19">
        <f t="shared" si="3"/>
        <v>1031959</v>
      </c>
    </row>
    <row r="22" spans="1:9" ht="13.5" thickBot="1">
      <c r="A22" s="3" t="s">
        <v>38</v>
      </c>
      <c r="B22" s="65" t="s">
        <v>176</v>
      </c>
      <c r="C22" s="5"/>
      <c r="D22" s="5"/>
      <c r="E22" s="5"/>
      <c r="F22" s="5"/>
      <c r="G22" s="5"/>
      <c r="H22" s="5"/>
      <c r="I22" s="5"/>
    </row>
    <row r="23" spans="1:9" ht="12.75">
      <c r="A23" s="6"/>
      <c r="B23" s="13" t="s">
        <v>177</v>
      </c>
      <c r="C23" s="15">
        <v>138262</v>
      </c>
      <c r="D23" s="14">
        <v>148866</v>
      </c>
      <c r="E23" s="14">
        <v>135667.93</v>
      </c>
      <c r="F23" s="8">
        <f aca="true" t="shared" si="4" ref="F23:F29">SUM(D23-E23)</f>
        <v>13198.070000000007</v>
      </c>
      <c r="G23" s="14">
        <v>157053</v>
      </c>
      <c r="H23" s="14"/>
      <c r="I23" s="8">
        <f>SUM(G23:H23)</f>
        <v>157053</v>
      </c>
    </row>
    <row r="24" spans="1:9" ht="12.75">
      <c r="A24" s="6"/>
      <c r="B24" s="13" t="s">
        <v>178</v>
      </c>
      <c r="C24" s="15">
        <v>0</v>
      </c>
      <c r="D24" s="14"/>
      <c r="E24" s="14"/>
      <c r="F24" s="8">
        <f t="shared" si="4"/>
        <v>0</v>
      </c>
      <c r="G24" s="14">
        <v>13240</v>
      </c>
      <c r="H24" s="14"/>
      <c r="I24" s="8">
        <f>SUM(G24:H24)</f>
        <v>13240</v>
      </c>
    </row>
    <row r="25" spans="1:9" ht="12.75">
      <c r="A25" s="6"/>
      <c r="B25" s="13" t="s">
        <v>179</v>
      </c>
      <c r="C25" s="15">
        <v>0</v>
      </c>
      <c r="D25" s="14">
        <v>0</v>
      </c>
      <c r="E25" s="14"/>
      <c r="F25" s="8">
        <f t="shared" si="4"/>
        <v>0</v>
      </c>
      <c r="G25" s="14">
        <v>13240</v>
      </c>
      <c r="H25" s="14"/>
      <c r="I25" s="8">
        <f>SUM(G25:H25)</f>
        <v>13240</v>
      </c>
    </row>
    <row r="26" spans="1:9" ht="12.75">
      <c r="A26" s="6"/>
      <c r="B26" s="13" t="s">
        <v>180</v>
      </c>
      <c r="C26" s="15">
        <v>0</v>
      </c>
      <c r="D26" s="14">
        <v>0</v>
      </c>
      <c r="E26" s="14"/>
      <c r="F26" s="8">
        <f t="shared" si="4"/>
        <v>0</v>
      </c>
      <c r="G26" s="14">
        <v>0</v>
      </c>
      <c r="H26" s="14"/>
      <c r="I26" s="8">
        <f>SUM(G26:H26)</f>
        <v>0</v>
      </c>
    </row>
    <row r="27" spans="1:9" ht="13.5" thickBot="1">
      <c r="A27" s="6"/>
      <c r="B27" s="37" t="s">
        <v>9</v>
      </c>
      <c r="C27" s="38">
        <f aca="true" t="shared" si="5" ref="C27:I27">SUM(C23:C26)</f>
        <v>138262</v>
      </c>
      <c r="D27" s="38">
        <f t="shared" si="5"/>
        <v>148866</v>
      </c>
      <c r="E27" s="38">
        <f t="shared" si="5"/>
        <v>135667.93</v>
      </c>
      <c r="F27" s="38">
        <f t="shared" si="5"/>
        <v>13198.070000000007</v>
      </c>
      <c r="G27" s="38">
        <f t="shared" si="5"/>
        <v>183533</v>
      </c>
      <c r="H27" s="38">
        <f t="shared" si="5"/>
        <v>0</v>
      </c>
      <c r="I27" s="38">
        <f t="shared" si="5"/>
        <v>183533</v>
      </c>
    </row>
    <row r="28" spans="1:9" ht="13.5" thickBot="1">
      <c r="A28" s="3" t="s">
        <v>48</v>
      </c>
      <c r="B28" s="4" t="s">
        <v>181</v>
      </c>
      <c r="C28" s="5"/>
      <c r="D28" s="5"/>
      <c r="E28" s="5"/>
      <c r="F28" s="5"/>
      <c r="G28" s="5"/>
      <c r="H28" s="5"/>
      <c r="I28" s="5"/>
    </row>
    <row r="29" spans="1:9" ht="12.75">
      <c r="A29" s="6"/>
      <c r="B29" s="13" t="s">
        <v>182</v>
      </c>
      <c r="C29" s="15">
        <v>26421.39</v>
      </c>
      <c r="D29" s="14">
        <v>64758</v>
      </c>
      <c r="E29" s="14">
        <v>44665.07</v>
      </c>
      <c r="F29" s="8">
        <f t="shared" si="4"/>
        <v>20092.93</v>
      </c>
      <c r="G29" s="14">
        <v>64758</v>
      </c>
      <c r="H29" s="14"/>
      <c r="I29" s="8">
        <f>SUM(G29:H29)</f>
        <v>64758</v>
      </c>
    </row>
    <row r="30" spans="1:9" ht="13.5" thickBot="1">
      <c r="A30" s="10"/>
      <c r="B30" s="11" t="s">
        <v>9</v>
      </c>
      <c r="C30" s="19">
        <f aca="true" t="shared" si="6" ref="C30:I30">SUM(C29)</f>
        <v>26421.39</v>
      </c>
      <c r="D30" s="19">
        <f t="shared" si="6"/>
        <v>64758</v>
      </c>
      <c r="E30" s="19">
        <f t="shared" si="6"/>
        <v>44665.07</v>
      </c>
      <c r="F30" s="19">
        <f t="shared" si="6"/>
        <v>20092.93</v>
      </c>
      <c r="G30" s="19">
        <f t="shared" si="6"/>
        <v>64758</v>
      </c>
      <c r="H30" s="19">
        <f t="shared" si="6"/>
        <v>0</v>
      </c>
      <c r="I30" s="19">
        <f t="shared" si="6"/>
        <v>64758</v>
      </c>
    </row>
    <row r="31" spans="1:9" ht="13.5" thickBot="1">
      <c r="A31" s="3" t="s">
        <v>49</v>
      </c>
      <c r="B31" s="4" t="s">
        <v>183</v>
      </c>
      <c r="C31" s="5"/>
      <c r="D31" s="5"/>
      <c r="E31" s="5"/>
      <c r="F31" s="5"/>
      <c r="G31" s="5"/>
      <c r="H31" s="5"/>
      <c r="I31" s="5"/>
    </row>
    <row r="32" spans="1:9" ht="12.75">
      <c r="A32" s="6"/>
      <c r="B32" s="13" t="s">
        <v>184</v>
      </c>
      <c r="C32" s="15">
        <v>81896</v>
      </c>
      <c r="D32" s="14">
        <v>105317</v>
      </c>
      <c r="E32" s="14">
        <v>101871.2</v>
      </c>
      <c r="F32" s="8">
        <f>SUM(D32-E32)</f>
        <v>3445.800000000003</v>
      </c>
      <c r="G32" s="14">
        <v>117953</v>
      </c>
      <c r="H32" s="14"/>
      <c r="I32" s="8">
        <f>SUM(G32:H32)</f>
        <v>117953</v>
      </c>
    </row>
    <row r="33" spans="1:9" ht="12.75">
      <c r="A33" s="6"/>
      <c r="B33" s="13" t="s">
        <v>185</v>
      </c>
      <c r="C33" s="15">
        <v>18297</v>
      </c>
      <c r="D33" s="14">
        <v>18983</v>
      </c>
      <c r="E33" s="14">
        <v>12204.94</v>
      </c>
      <c r="F33" s="8">
        <f>SUM(D33-E33)</f>
        <v>6778.0599999999995</v>
      </c>
      <c r="G33" s="14">
        <v>0</v>
      </c>
      <c r="H33" s="14"/>
      <c r="I33" s="8">
        <f>SUM(G33:H33)</f>
        <v>0</v>
      </c>
    </row>
    <row r="34" spans="1:9" ht="13.5" thickBot="1">
      <c r="A34" s="10"/>
      <c r="B34" s="11" t="s">
        <v>9</v>
      </c>
      <c r="C34" s="12">
        <f aca="true" t="shared" si="7" ref="C34:I34">SUM(C32:C33)</f>
        <v>100193</v>
      </c>
      <c r="D34" s="12">
        <f t="shared" si="7"/>
        <v>124300</v>
      </c>
      <c r="E34" s="12">
        <f t="shared" si="7"/>
        <v>114076.14</v>
      </c>
      <c r="F34" s="12">
        <f t="shared" si="7"/>
        <v>10223.860000000002</v>
      </c>
      <c r="G34" s="12">
        <f t="shared" si="7"/>
        <v>117953</v>
      </c>
      <c r="H34" s="12">
        <f t="shared" si="7"/>
        <v>0</v>
      </c>
      <c r="I34" s="12">
        <f t="shared" si="7"/>
        <v>117953</v>
      </c>
    </row>
    <row r="35" spans="1:9" ht="13.5" thickBot="1">
      <c r="A35" s="3" t="s">
        <v>51</v>
      </c>
      <c r="B35" s="4" t="s">
        <v>186</v>
      </c>
      <c r="C35" s="5"/>
      <c r="D35" s="5"/>
      <c r="E35" s="5"/>
      <c r="F35" s="5"/>
      <c r="G35" s="5"/>
      <c r="H35" s="5"/>
      <c r="I35" s="5"/>
    </row>
    <row r="36" spans="1:9" ht="12.75">
      <c r="A36" s="6"/>
      <c r="B36" s="7" t="s">
        <v>187</v>
      </c>
      <c r="C36" s="9">
        <v>5965</v>
      </c>
      <c r="D36" s="8">
        <v>900</v>
      </c>
      <c r="E36" s="8">
        <v>900</v>
      </c>
      <c r="F36" s="8">
        <f>SUM(D36-E36)</f>
        <v>0</v>
      </c>
      <c r="G36" s="8">
        <v>4000</v>
      </c>
      <c r="H36" s="8"/>
      <c r="I36" s="8">
        <f>SUM(G36:H36)</f>
        <v>4000</v>
      </c>
    </row>
    <row r="37" spans="1:9" ht="12.75">
      <c r="A37" s="6"/>
      <c r="B37" s="7" t="s">
        <v>166</v>
      </c>
      <c r="C37" s="9">
        <v>183</v>
      </c>
      <c r="D37" s="8">
        <v>700</v>
      </c>
      <c r="E37" s="8"/>
      <c r="F37" s="8">
        <f>SUM(D37-E37)</f>
        <v>700</v>
      </c>
      <c r="G37" s="8">
        <v>0</v>
      </c>
      <c r="H37" s="8"/>
      <c r="I37" s="8">
        <f>SUM(G37:H37)</f>
        <v>0</v>
      </c>
    </row>
    <row r="38" spans="1:9" ht="12.75">
      <c r="A38" s="6"/>
      <c r="B38" s="7" t="s">
        <v>188</v>
      </c>
      <c r="C38" s="9">
        <v>1553</v>
      </c>
      <c r="D38" s="8">
        <v>0</v>
      </c>
      <c r="E38" s="8">
        <v>725</v>
      </c>
      <c r="F38" s="8">
        <f>SUM(D38-E38)</f>
        <v>-725</v>
      </c>
      <c r="G38" s="8">
        <v>2600</v>
      </c>
      <c r="H38" s="8"/>
      <c r="I38" s="8">
        <f>SUM(G38:H38)</f>
        <v>2600</v>
      </c>
    </row>
    <row r="39" spans="1:9" ht="13.5" thickBot="1">
      <c r="A39" s="23"/>
      <c r="B39" s="24" t="s">
        <v>9</v>
      </c>
      <c r="C39" s="41">
        <f aca="true" t="shared" si="8" ref="C39:I39">SUM(C36:C38)</f>
        <v>7701</v>
      </c>
      <c r="D39" s="41">
        <f t="shared" si="8"/>
        <v>1600</v>
      </c>
      <c r="E39" s="41">
        <f t="shared" si="8"/>
        <v>1625</v>
      </c>
      <c r="F39" s="41">
        <f t="shared" si="8"/>
        <v>-25</v>
      </c>
      <c r="G39" s="41">
        <f t="shared" si="8"/>
        <v>6600</v>
      </c>
      <c r="H39" s="41">
        <f t="shared" si="8"/>
        <v>0</v>
      </c>
      <c r="I39" s="41">
        <f t="shared" si="8"/>
        <v>6600</v>
      </c>
    </row>
    <row r="40" spans="1:9" ht="13.5" thickBot="1">
      <c r="A40" s="43" t="s">
        <v>54</v>
      </c>
      <c r="B40" s="4" t="s">
        <v>55</v>
      </c>
      <c r="C40" s="5"/>
      <c r="D40" s="5"/>
      <c r="E40" s="5"/>
      <c r="F40" s="5"/>
      <c r="G40" s="5"/>
      <c r="H40" s="5"/>
      <c r="I40" s="5"/>
    </row>
    <row r="41" spans="1:9" ht="12.75">
      <c r="A41" s="6"/>
      <c r="B41" s="7" t="s">
        <v>56</v>
      </c>
      <c r="C41" s="15">
        <v>17975.72</v>
      </c>
      <c r="D41" s="8">
        <v>4240</v>
      </c>
      <c r="E41" s="8">
        <v>19.1</v>
      </c>
      <c r="F41" s="8">
        <f aca="true" t="shared" si="9" ref="F41:F47">SUM(D41-E41)</f>
        <v>4220.9</v>
      </c>
      <c r="G41" s="8">
        <v>9000</v>
      </c>
      <c r="H41" s="8"/>
      <c r="I41" s="8">
        <f aca="true" t="shared" si="10" ref="I41:I47">SUM(G41:H41)</f>
        <v>9000</v>
      </c>
    </row>
    <row r="42" spans="1:9" ht="12.75">
      <c r="A42" s="6"/>
      <c r="B42" s="7" t="s">
        <v>189</v>
      </c>
      <c r="C42" s="15">
        <v>997.92</v>
      </c>
      <c r="D42" s="8">
        <v>1200</v>
      </c>
      <c r="E42" s="8">
        <v>1164.4</v>
      </c>
      <c r="F42" s="8">
        <f t="shared" si="9"/>
        <v>35.59999999999991</v>
      </c>
      <c r="G42" s="8">
        <v>2200</v>
      </c>
      <c r="H42" s="8"/>
      <c r="I42" s="8">
        <f t="shared" si="10"/>
        <v>2200</v>
      </c>
    </row>
    <row r="43" spans="1:9" ht="12.75">
      <c r="A43" s="6"/>
      <c r="B43" s="7" t="s">
        <v>190</v>
      </c>
      <c r="C43" s="15">
        <v>1244.77</v>
      </c>
      <c r="D43" s="8">
        <v>1508</v>
      </c>
      <c r="E43" s="8">
        <v>1831.48</v>
      </c>
      <c r="F43" s="8">
        <f t="shared" si="9"/>
        <v>-323.48</v>
      </c>
      <c r="G43" s="8">
        <v>1245</v>
      </c>
      <c r="H43" s="8"/>
      <c r="I43" s="8">
        <f t="shared" si="10"/>
        <v>1245</v>
      </c>
    </row>
    <row r="44" spans="1:9" ht="12.75">
      <c r="A44" s="6"/>
      <c r="B44" s="7" t="s">
        <v>191</v>
      </c>
      <c r="C44" s="9">
        <v>43350</v>
      </c>
      <c r="D44" s="8">
        <v>14000</v>
      </c>
      <c r="E44" s="8">
        <v>16675.01</v>
      </c>
      <c r="F44" s="8">
        <f t="shared" si="9"/>
        <v>-2675.0099999999984</v>
      </c>
      <c r="G44" s="8">
        <v>9734</v>
      </c>
      <c r="H44" s="8"/>
      <c r="I44" s="8">
        <f t="shared" si="10"/>
        <v>9734</v>
      </c>
    </row>
    <row r="45" spans="1:9" ht="12.75">
      <c r="A45" s="6"/>
      <c r="B45" s="7" t="s">
        <v>192</v>
      </c>
      <c r="C45" s="9">
        <v>0</v>
      </c>
      <c r="D45" s="8">
        <v>0</v>
      </c>
      <c r="E45" s="8"/>
      <c r="F45" s="8">
        <f t="shared" si="9"/>
        <v>0</v>
      </c>
      <c r="G45" s="8">
        <v>1245</v>
      </c>
      <c r="H45" s="8"/>
      <c r="I45" s="8">
        <f t="shared" si="10"/>
        <v>1245</v>
      </c>
    </row>
    <row r="46" spans="1:9" ht="12.75">
      <c r="A46" s="6"/>
      <c r="B46" s="7" t="s">
        <v>193</v>
      </c>
      <c r="C46" s="9">
        <v>0</v>
      </c>
      <c r="D46" s="8">
        <v>100</v>
      </c>
      <c r="E46" s="8"/>
      <c r="F46" s="8">
        <f t="shared" si="9"/>
        <v>100</v>
      </c>
      <c r="G46" s="8">
        <v>103</v>
      </c>
      <c r="H46" s="8"/>
      <c r="I46" s="8">
        <f t="shared" si="10"/>
        <v>103</v>
      </c>
    </row>
    <row r="47" spans="1:9" ht="12.75">
      <c r="A47" s="6"/>
      <c r="B47" s="7" t="s">
        <v>194</v>
      </c>
      <c r="C47" s="9">
        <v>573.22</v>
      </c>
      <c r="D47" s="8">
        <v>2500</v>
      </c>
      <c r="E47" s="8">
        <v>2281.09</v>
      </c>
      <c r="F47" s="8">
        <f t="shared" si="9"/>
        <v>218.90999999999985</v>
      </c>
      <c r="G47" s="8">
        <v>2563</v>
      </c>
      <c r="H47" s="8"/>
      <c r="I47" s="8">
        <f t="shared" si="10"/>
        <v>2563</v>
      </c>
    </row>
    <row r="48" spans="1:9" ht="13.5" thickBot="1">
      <c r="A48" s="10"/>
      <c r="B48" s="11" t="s">
        <v>9</v>
      </c>
      <c r="C48" s="12">
        <f aca="true" t="shared" si="11" ref="C48:I48">SUM(C41:C47)</f>
        <v>64141.630000000005</v>
      </c>
      <c r="D48" s="12">
        <f t="shared" si="11"/>
        <v>23548</v>
      </c>
      <c r="E48" s="12">
        <f t="shared" si="11"/>
        <v>21971.079999999998</v>
      </c>
      <c r="F48" s="12">
        <f t="shared" si="11"/>
        <v>1576.9200000000014</v>
      </c>
      <c r="G48" s="12">
        <f t="shared" si="11"/>
        <v>26090</v>
      </c>
      <c r="H48" s="12">
        <f t="shared" si="11"/>
        <v>0</v>
      </c>
      <c r="I48" s="12">
        <f t="shared" si="11"/>
        <v>26090</v>
      </c>
    </row>
    <row r="49" spans="1:9" ht="13.5" thickBot="1">
      <c r="A49" s="3" t="s">
        <v>58</v>
      </c>
      <c r="B49" s="4" t="s">
        <v>59</v>
      </c>
      <c r="C49" s="5"/>
      <c r="D49" s="5"/>
      <c r="E49" s="5"/>
      <c r="F49" s="5"/>
      <c r="G49" s="5"/>
      <c r="H49" s="5"/>
      <c r="I49" s="5"/>
    </row>
    <row r="50" spans="1:9" ht="12.75">
      <c r="A50" s="6"/>
      <c r="B50" s="7" t="s">
        <v>30</v>
      </c>
      <c r="C50" s="9">
        <v>10637</v>
      </c>
      <c r="D50" s="8">
        <v>7000</v>
      </c>
      <c r="E50" s="8">
        <v>4452</v>
      </c>
      <c r="F50" s="8">
        <f>SUM(D50-E50)</f>
        <v>2548</v>
      </c>
      <c r="G50" s="8">
        <v>7000</v>
      </c>
      <c r="H50" s="8"/>
      <c r="I50" s="8">
        <f>SUM(G50:H50)</f>
        <v>7000</v>
      </c>
    </row>
    <row r="51" spans="1:9" ht="12.75">
      <c r="A51" s="6"/>
      <c r="B51" s="7" t="s">
        <v>208</v>
      </c>
      <c r="C51" s="9">
        <v>1817.73</v>
      </c>
      <c r="D51" s="8">
        <v>5000</v>
      </c>
      <c r="E51" s="8">
        <v>1933</v>
      </c>
      <c r="F51" s="8">
        <f>SUM(D51-E51)</f>
        <v>3067</v>
      </c>
      <c r="G51" s="8">
        <v>2000</v>
      </c>
      <c r="H51" s="8"/>
      <c r="I51" s="8">
        <f>SUM(G51:H51)</f>
        <v>2000</v>
      </c>
    </row>
    <row r="52" spans="1:9" ht="12.75">
      <c r="A52" s="6"/>
      <c r="B52" s="7" t="s">
        <v>313</v>
      </c>
      <c r="C52" s="9">
        <v>11313.99</v>
      </c>
      <c r="D52" s="8">
        <v>7000</v>
      </c>
      <c r="E52" s="8">
        <v>6862.32</v>
      </c>
      <c r="F52" s="8">
        <f>SUM(D52-E52)</f>
        <v>137.6800000000003</v>
      </c>
      <c r="G52" s="8">
        <v>7000</v>
      </c>
      <c r="H52" s="8"/>
      <c r="I52" s="8">
        <f>SUM(G52:H52)</f>
        <v>7000</v>
      </c>
    </row>
    <row r="53" spans="1:9" ht="13.5" thickBot="1">
      <c r="A53" s="10"/>
      <c r="B53" s="11" t="s">
        <v>9</v>
      </c>
      <c r="C53" s="12">
        <f aca="true" t="shared" si="12" ref="C53:I53">SUM(C50:C52)</f>
        <v>23768.72</v>
      </c>
      <c r="D53" s="12">
        <f t="shared" si="12"/>
        <v>19000</v>
      </c>
      <c r="E53" s="12">
        <f t="shared" si="12"/>
        <v>13247.32</v>
      </c>
      <c r="F53" s="12">
        <f t="shared" si="12"/>
        <v>5752.68</v>
      </c>
      <c r="G53" s="12">
        <f t="shared" si="12"/>
        <v>16000</v>
      </c>
      <c r="H53" s="12">
        <f t="shared" si="12"/>
        <v>0</v>
      </c>
      <c r="I53" s="12">
        <f t="shared" si="12"/>
        <v>16000</v>
      </c>
    </row>
    <row r="54" spans="1:9" ht="13.5" thickBot="1">
      <c r="A54" s="3" t="s">
        <v>60</v>
      </c>
      <c r="B54" s="4" t="s">
        <v>146</v>
      </c>
      <c r="C54" s="5"/>
      <c r="D54" s="5"/>
      <c r="E54" s="5"/>
      <c r="F54" s="5"/>
      <c r="G54" s="5"/>
      <c r="H54" s="5"/>
      <c r="I54" s="5"/>
    </row>
    <row r="55" spans="1:9" ht="12.75">
      <c r="A55" s="6"/>
      <c r="B55" s="7" t="s">
        <v>12</v>
      </c>
      <c r="C55" s="9">
        <v>27862.23</v>
      </c>
      <c r="D55" s="8">
        <v>39967</v>
      </c>
      <c r="E55" s="8">
        <v>29988.66</v>
      </c>
      <c r="F55" s="8">
        <f>SUM(D55-E55)</f>
        <v>9978.34</v>
      </c>
      <c r="G55" s="8">
        <v>43196</v>
      </c>
      <c r="H55" s="8">
        <v>-13003</v>
      </c>
      <c r="I55" s="8">
        <f>SUM(G55:H55)</f>
        <v>30193</v>
      </c>
    </row>
    <row r="56" spans="1:9" ht="12.75">
      <c r="A56" s="6"/>
      <c r="B56" s="7" t="s">
        <v>195</v>
      </c>
      <c r="C56" s="9">
        <v>0</v>
      </c>
      <c r="D56" s="8">
        <v>300</v>
      </c>
      <c r="E56" s="8">
        <v>214.98</v>
      </c>
      <c r="F56" s="8">
        <f>SUM(D56-E56)</f>
        <v>85.02000000000001</v>
      </c>
      <c r="G56" s="8">
        <v>300</v>
      </c>
      <c r="H56" s="8"/>
      <c r="I56" s="8">
        <f>SUM(G56:H56)</f>
        <v>300</v>
      </c>
    </row>
    <row r="57" spans="1:9" ht="13.5" thickBot="1">
      <c r="A57" s="10"/>
      <c r="B57" s="11" t="s">
        <v>9</v>
      </c>
      <c r="C57" s="12">
        <f aca="true" t="shared" si="13" ref="C57:I57">SUM(C55:C56)</f>
        <v>27862.23</v>
      </c>
      <c r="D57" s="12">
        <f t="shared" si="13"/>
        <v>40267</v>
      </c>
      <c r="E57" s="12">
        <f t="shared" si="13"/>
        <v>30203.64</v>
      </c>
      <c r="F57" s="12">
        <f t="shared" si="13"/>
        <v>10063.36</v>
      </c>
      <c r="G57" s="12">
        <f t="shared" si="13"/>
        <v>43496</v>
      </c>
      <c r="H57" s="12">
        <f t="shared" si="13"/>
        <v>-13003</v>
      </c>
      <c r="I57" s="12">
        <f t="shared" si="13"/>
        <v>30493</v>
      </c>
    </row>
    <row r="58" spans="1:9" ht="14.25" thickBot="1" thickTop="1">
      <c r="A58" s="33" t="s">
        <v>64</v>
      </c>
      <c r="B58" s="34" t="s">
        <v>65</v>
      </c>
      <c r="C58" s="48">
        <f aca="true" t="shared" si="14" ref="C58:I58">C57+C53+C48+C39+C34+C30+C27+C21+C12</f>
        <v>1387233.54</v>
      </c>
      <c r="D58" s="48">
        <f t="shared" si="14"/>
        <v>1415580</v>
      </c>
      <c r="E58" s="48">
        <f t="shared" si="14"/>
        <v>1134934.4200000002</v>
      </c>
      <c r="F58" s="48">
        <f t="shared" si="14"/>
        <v>280645.57999999996</v>
      </c>
      <c r="G58" s="48">
        <f t="shared" si="14"/>
        <v>1502694</v>
      </c>
      <c r="H58" s="48">
        <f t="shared" si="14"/>
        <v>118867</v>
      </c>
      <c r="I58" s="48">
        <f t="shared" si="14"/>
        <v>1621561</v>
      </c>
    </row>
    <row r="59" spans="1:9" ht="14.25" thickBot="1" thickTop="1">
      <c r="A59" s="36"/>
      <c r="B59" s="37"/>
      <c r="C59" s="39"/>
      <c r="D59" s="38"/>
      <c r="E59" s="38"/>
      <c r="F59" s="38"/>
      <c r="G59" s="38"/>
      <c r="H59" s="38"/>
      <c r="I59" s="38"/>
    </row>
    <row r="60" spans="1:9" ht="13.5" thickBot="1">
      <c r="A60" s="3" t="s">
        <v>66</v>
      </c>
      <c r="B60" s="4" t="s">
        <v>67</v>
      </c>
      <c r="C60" s="5"/>
      <c r="D60" s="5"/>
      <c r="E60" s="5"/>
      <c r="F60" s="5"/>
      <c r="G60" s="5"/>
      <c r="H60" s="5"/>
      <c r="I60" s="5"/>
    </row>
    <row r="61" spans="1:9" ht="12.75">
      <c r="A61" s="6"/>
      <c r="B61" s="7" t="s">
        <v>196</v>
      </c>
      <c r="C61" s="9">
        <v>49266.74</v>
      </c>
      <c r="D61" s="8">
        <v>52613</v>
      </c>
      <c r="E61" s="8">
        <v>38642.24</v>
      </c>
      <c r="F61" s="8">
        <f>SUM(D61-E61)</f>
        <v>13970.760000000002</v>
      </c>
      <c r="G61" s="8">
        <v>53663</v>
      </c>
      <c r="H61" s="8"/>
      <c r="I61" s="8">
        <f>SUM(G61:H61)</f>
        <v>53663</v>
      </c>
    </row>
    <row r="62" spans="1:9" ht="12.75">
      <c r="A62" s="6"/>
      <c r="B62" s="7" t="s">
        <v>197</v>
      </c>
      <c r="C62" s="9">
        <v>131.41</v>
      </c>
      <c r="D62" s="8">
        <v>0</v>
      </c>
      <c r="E62" s="8">
        <v>271.45</v>
      </c>
      <c r="F62" s="8">
        <f>SUM(D62-E62)</f>
        <v>-271.45</v>
      </c>
      <c r="G62" s="8">
        <v>0</v>
      </c>
      <c r="H62" s="8"/>
      <c r="I62" s="8">
        <f>SUM(G62:H62)</f>
        <v>0</v>
      </c>
    </row>
    <row r="63" spans="1:9" ht="12.75">
      <c r="A63" s="6"/>
      <c r="B63" s="7" t="s">
        <v>198</v>
      </c>
      <c r="C63" s="9">
        <v>64369.41</v>
      </c>
      <c r="D63" s="8">
        <v>73263</v>
      </c>
      <c r="E63" s="8">
        <v>51024.64</v>
      </c>
      <c r="F63" s="8">
        <f>SUM(D63-E63)</f>
        <v>22238.36</v>
      </c>
      <c r="G63" s="8">
        <v>62138</v>
      </c>
      <c r="H63" s="8"/>
      <c r="I63" s="8">
        <f>SUM(G63:H63)</f>
        <v>62138</v>
      </c>
    </row>
    <row r="64" spans="1:9" ht="12.75">
      <c r="A64" s="6"/>
      <c r="B64" s="7" t="s">
        <v>195</v>
      </c>
      <c r="C64" s="9">
        <v>179.35</v>
      </c>
      <c r="D64" s="8">
        <v>245</v>
      </c>
      <c r="E64" s="8">
        <v>320.25</v>
      </c>
      <c r="F64" s="8">
        <f>SUM(D64-E64)</f>
        <v>-75.25</v>
      </c>
      <c r="G64" s="8">
        <f>268</f>
        <v>268</v>
      </c>
      <c r="H64" s="8"/>
      <c r="I64" s="8">
        <f>SUM(G64:H64)</f>
        <v>268</v>
      </c>
    </row>
    <row r="65" spans="1:9" ht="13.5" thickBot="1">
      <c r="A65" s="10"/>
      <c r="B65" s="11" t="s">
        <v>9</v>
      </c>
      <c r="C65" s="12">
        <f aca="true" t="shared" si="15" ref="C65:I65">SUM(C61:C64)</f>
        <v>113946.91</v>
      </c>
      <c r="D65" s="12">
        <f t="shared" si="15"/>
        <v>126121</v>
      </c>
      <c r="E65" s="12">
        <f t="shared" si="15"/>
        <v>90258.57999999999</v>
      </c>
      <c r="F65" s="12">
        <f t="shared" si="15"/>
        <v>35862.42</v>
      </c>
      <c r="G65" s="12">
        <f t="shared" si="15"/>
        <v>116069</v>
      </c>
      <c r="H65" s="12">
        <f t="shared" si="15"/>
        <v>0</v>
      </c>
      <c r="I65" s="12">
        <f t="shared" si="15"/>
        <v>116069</v>
      </c>
    </row>
    <row r="66" spans="1:9" ht="13.5" thickBot="1">
      <c r="A66" s="3" t="s">
        <v>199</v>
      </c>
      <c r="B66" s="4" t="s">
        <v>200</v>
      </c>
      <c r="C66" s="5"/>
      <c r="D66" s="5"/>
      <c r="E66" s="5"/>
      <c r="F66" s="5"/>
      <c r="G66" s="5"/>
      <c r="H66" s="5"/>
      <c r="I66" s="5"/>
    </row>
    <row r="67" spans="1:9" ht="12.75">
      <c r="A67" s="6"/>
      <c r="B67" s="7" t="s">
        <v>201</v>
      </c>
      <c r="C67" s="9">
        <v>3142.95</v>
      </c>
      <c r="D67" s="8">
        <v>600</v>
      </c>
      <c r="E67" s="8">
        <v>385.5</v>
      </c>
      <c r="F67" s="8">
        <f>SUM(D67-E67)</f>
        <v>214.5</v>
      </c>
      <c r="G67" s="8">
        <v>0</v>
      </c>
      <c r="H67" s="8"/>
      <c r="I67" s="8">
        <f>SUM(G67:H67)</f>
        <v>0</v>
      </c>
    </row>
    <row r="68" spans="1:9" ht="12.75">
      <c r="A68" s="6"/>
      <c r="B68" s="7" t="s">
        <v>202</v>
      </c>
      <c r="C68" s="42">
        <v>106.2</v>
      </c>
      <c r="D68" s="8">
        <v>250</v>
      </c>
      <c r="E68" s="8">
        <v>150.17</v>
      </c>
      <c r="F68" s="8">
        <f>SUM(D68-E68)</f>
        <v>99.83000000000001</v>
      </c>
      <c r="G68" s="8">
        <v>0</v>
      </c>
      <c r="H68" s="8"/>
      <c r="I68" s="8">
        <f>SUM(G68:H68)</f>
        <v>0</v>
      </c>
    </row>
    <row r="69" spans="1:9" ht="13.5" thickBot="1">
      <c r="A69" s="10"/>
      <c r="B69" s="11" t="s">
        <v>9</v>
      </c>
      <c r="C69" s="12">
        <f aca="true" t="shared" si="16" ref="C69:I69">SUM(C67:C68)</f>
        <v>3249.1499999999996</v>
      </c>
      <c r="D69" s="12">
        <f t="shared" si="16"/>
        <v>850</v>
      </c>
      <c r="E69" s="12">
        <f t="shared" si="16"/>
        <v>535.67</v>
      </c>
      <c r="F69" s="12">
        <f t="shared" si="16"/>
        <v>314.33000000000004</v>
      </c>
      <c r="G69" s="12">
        <f t="shared" si="16"/>
        <v>0</v>
      </c>
      <c r="H69" s="12">
        <f t="shared" si="16"/>
        <v>0</v>
      </c>
      <c r="I69" s="12">
        <f t="shared" si="16"/>
        <v>0</v>
      </c>
    </row>
    <row r="70" spans="1:9" ht="14.25" thickBot="1" thickTop="1">
      <c r="A70" s="66" t="s">
        <v>71</v>
      </c>
      <c r="B70" s="67" t="s">
        <v>72</v>
      </c>
      <c r="C70" s="68">
        <f aca="true" t="shared" si="17" ref="C70:I70">C65+C69</f>
        <v>117196.06</v>
      </c>
      <c r="D70" s="68">
        <f t="shared" si="17"/>
        <v>126971</v>
      </c>
      <c r="E70" s="68">
        <f t="shared" si="17"/>
        <v>90794.24999999999</v>
      </c>
      <c r="F70" s="68">
        <f t="shared" si="17"/>
        <v>36176.75</v>
      </c>
      <c r="G70" s="68">
        <f t="shared" si="17"/>
        <v>116069</v>
      </c>
      <c r="H70" s="68">
        <f t="shared" si="17"/>
        <v>0</v>
      </c>
      <c r="I70" s="68">
        <f t="shared" si="17"/>
        <v>116069</v>
      </c>
    </row>
    <row r="71" spans="1:9" ht="13.5" thickBot="1">
      <c r="A71" s="43" t="s">
        <v>73</v>
      </c>
      <c r="B71" s="52" t="s">
        <v>203</v>
      </c>
      <c r="C71" s="5"/>
      <c r="D71" s="5"/>
      <c r="E71" s="5"/>
      <c r="F71" s="5"/>
      <c r="G71" s="5"/>
      <c r="H71" s="5"/>
      <c r="I71" s="5"/>
    </row>
    <row r="72" spans="1:9" ht="12.75">
      <c r="A72" s="6"/>
      <c r="B72" s="7" t="s">
        <v>7</v>
      </c>
      <c r="C72" s="9">
        <v>71350.85</v>
      </c>
      <c r="D72" s="8">
        <v>72665</v>
      </c>
      <c r="E72" s="8">
        <v>55609.09</v>
      </c>
      <c r="F72" s="8">
        <f aca="true" t="shared" si="18" ref="F72:F79">SUM(D72-E72)</f>
        <v>17055.910000000003</v>
      </c>
      <c r="G72" s="8">
        <v>73165</v>
      </c>
      <c r="H72" s="8"/>
      <c r="I72" s="8">
        <f aca="true" t="shared" si="19" ref="I72:I79">SUM(G72:H72)</f>
        <v>73165</v>
      </c>
    </row>
    <row r="73" spans="1:9" ht="12.75">
      <c r="A73" s="6"/>
      <c r="B73" s="7" t="s">
        <v>307</v>
      </c>
      <c r="C73" s="9"/>
      <c r="D73" s="8"/>
      <c r="E73" s="8">
        <v>2670.7</v>
      </c>
      <c r="F73" s="8">
        <f t="shared" si="18"/>
        <v>-2670.7</v>
      </c>
      <c r="G73" s="8"/>
      <c r="H73" s="8"/>
      <c r="I73" s="8">
        <f t="shared" si="19"/>
        <v>0</v>
      </c>
    </row>
    <row r="74" spans="1:9" ht="12.75">
      <c r="A74" s="6"/>
      <c r="B74" s="7" t="s">
        <v>195</v>
      </c>
      <c r="C74" s="9">
        <v>4190.33</v>
      </c>
      <c r="D74" s="8">
        <v>5000</v>
      </c>
      <c r="E74" s="8">
        <f>5522.72+420</f>
        <v>5942.72</v>
      </c>
      <c r="F74" s="8">
        <f t="shared" si="18"/>
        <v>-942.7200000000003</v>
      </c>
      <c r="G74" s="8">
        <v>6420</v>
      </c>
      <c r="H74" s="8"/>
      <c r="I74" s="8">
        <f t="shared" si="19"/>
        <v>6420</v>
      </c>
    </row>
    <row r="75" spans="1:9" ht="13.5" thickBot="1">
      <c r="A75" s="54"/>
      <c r="B75" s="31" t="s">
        <v>204</v>
      </c>
      <c r="C75" s="55">
        <f aca="true" t="shared" si="20" ref="C75:I75">SUM(C72:C74)</f>
        <v>75541.18000000001</v>
      </c>
      <c r="D75" s="55">
        <f t="shared" si="20"/>
        <v>77665</v>
      </c>
      <c r="E75" s="55">
        <f t="shared" si="20"/>
        <v>64222.509999999995</v>
      </c>
      <c r="F75" s="55">
        <f t="shared" si="20"/>
        <v>13442.490000000002</v>
      </c>
      <c r="G75" s="55">
        <f t="shared" si="20"/>
        <v>79585</v>
      </c>
      <c r="H75" s="55">
        <f t="shared" si="20"/>
        <v>0</v>
      </c>
      <c r="I75" s="55">
        <f t="shared" si="20"/>
        <v>79585</v>
      </c>
    </row>
    <row r="76" spans="1:9" ht="13.5" thickTop="1">
      <c r="A76" s="6"/>
      <c r="B76" s="7" t="s">
        <v>205</v>
      </c>
      <c r="C76" s="9">
        <v>40803.87</v>
      </c>
      <c r="D76" s="8">
        <v>48000</v>
      </c>
      <c r="E76" s="8">
        <v>36993</v>
      </c>
      <c r="F76" s="8">
        <f t="shared" si="18"/>
        <v>11007</v>
      </c>
      <c r="G76" s="8">
        <v>48000</v>
      </c>
      <c r="H76" s="8"/>
      <c r="I76" s="8">
        <f t="shared" si="19"/>
        <v>48000</v>
      </c>
    </row>
    <row r="77" spans="1:9" ht="12.75">
      <c r="A77" s="6"/>
      <c r="B77" s="7" t="s">
        <v>206</v>
      </c>
      <c r="C77" s="9">
        <v>0</v>
      </c>
      <c r="D77" s="8">
        <v>0</v>
      </c>
      <c r="E77" s="8"/>
      <c r="F77" s="8">
        <f t="shared" si="18"/>
        <v>0</v>
      </c>
      <c r="G77" s="8">
        <v>0</v>
      </c>
      <c r="H77" s="8"/>
      <c r="I77" s="8">
        <f t="shared" si="19"/>
        <v>0</v>
      </c>
    </row>
    <row r="78" spans="1:9" ht="12.75">
      <c r="A78" s="6"/>
      <c r="B78" s="7" t="s">
        <v>207</v>
      </c>
      <c r="C78" s="9">
        <v>13135.81</v>
      </c>
      <c r="D78" s="8">
        <v>24000</v>
      </c>
      <c r="E78" s="8">
        <v>20895.8</v>
      </c>
      <c r="F78" s="8">
        <f t="shared" si="18"/>
        <v>3104.2000000000007</v>
      </c>
      <c r="G78" s="8">
        <v>24000</v>
      </c>
      <c r="H78" s="8"/>
      <c r="I78" s="8">
        <f t="shared" si="19"/>
        <v>24000</v>
      </c>
    </row>
    <row r="79" spans="1:9" ht="12.75">
      <c r="A79" s="6"/>
      <c r="B79" s="7" t="s">
        <v>209</v>
      </c>
      <c r="C79" s="9">
        <v>55406.7</v>
      </c>
      <c r="D79" s="8">
        <v>6000</v>
      </c>
      <c r="E79" s="8">
        <v>6448.68</v>
      </c>
      <c r="F79" s="8">
        <f t="shared" si="18"/>
        <v>-448.6800000000003</v>
      </c>
      <c r="G79" s="8">
        <v>10000</v>
      </c>
      <c r="H79" s="8"/>
      <c r="I79" s="8">
        <f t="shared" si="19"/>
        <v>10000</v>
      </c>
    </row>
    <row r="80" spans="1:9" ht="13.5" thickBot="1">
      <c r="A80" s="54"/>
      <c r="B80" s="11" t="s">
        <v>210</v>
      </c>
      <c r="C80" s="12">
        <f aca="true" t="shared" si="21" ref="C80:I80">SUM(C76:C79)</f>
        <v>109346.38</v>
      </c>
      <c r="D80" s="12">
        <f t="shared" si="21"/>
        <v>78000</v>
      </c>
      <c r="E80" s="12">
        <f t="shared" si="21"/>
        <v>64337.48</v>
      </c>
      <c r="F80" s="12">
        <f t="shared" si="21"/>
        <v>13662.52</v>
      </c>
      <c r="G80" s="12">
        <f t="shared" si="21"/>
        <v>82000</v>
      </c>
      <c r="H80" s="12">
        <f t="shared" si="21"/>
        <v>0</v>
      </c>
      <c r="I80" s="12">
        <f t="shared" si="21"/>
        <v>82000</v>
      </c>
    </row>
    <row r="81" spans="1:9" ht="14.25" thickBot="1" thickTop="1">
      <c r="A81" s="33" t="s">
        <v>73</v>
      </c>
      <c r="B81" s="34" t="s">
        <v>75</v>
      </c>
      <c r="C81" s="69">
        <f aca="true" t="shared" si="22" ref="C81:I81">C80+C75</f>
        <v>184887.56</v>
      </c>
      <c r="D81" s="69">
        <f t="shared" si="22"/>
        <v>155665</v>
      </c>
      <c r="E81" s="69">
        <f t="shared" si="22"/>
        <v>128559.98999999999</v>
      </c>
      <c r="F81" s="69">
        <f t="shared" si="22"/>
        <v>27105.010000000002</v>
      </c>
      <c r="G81" s="69">
        <f t="shared" si="22"/>
        <v>161585</v>
      </c>
      <c r="H81" s="69">
        <f t="shared" si="22"/>
        <v>0</v>
      </c>
      <c r="I81" s="69">
        <f t="shared" si="22"/>
        <v>161585</v>
      </c>
    </row>
    <row r="82" spans="1:9" ht="13.5" thickTop="1">
      <c r="A82" s="6"/>
      <c r="B82" s="7"/>
      <c r="C82" s="9"/>
      <c r="D82" s="8"/>
      <c r="E82" s="8"/>
      <c r="F82" s="8"/>
      <c r="G82" s="8"/>
      <c r="H82" s="8"/>
      <c r="I82" s="8"/>
    </row>
    <row r="83" spans="1:9" ht="13.5" thickBot="1">
      <c r="A83" s="121"/>
      <c r="B83" s="123"/>
      <c r="C83" s="56">
        <v>0</v>
      </c>
      <c r="D83" s="56">
        <v>0</v>
      </c>
      <c r="E83" s="56"/>
      <c r="F83" s="56"/>
      <c r="G83" s="56"/>
      <c r="H83" s="56"/>
      <c r="I83" s="56"/>
    </row>
    <row r="84" spans="1:9" ht="13.5" thickTop="1">
      <c r="A84" s="6"/>
      <c r="B84" s="57"/>
      <c r="C84" s="9"/>
      <c r="D84" s="8"/>
      <c r="E84" s="8"/>
      <c r="F84" s="8"/>
      <c r="G84" s="8"/>
      <c r="H84" s="8"/>
      <c r="I84" s="8"/>
    </row>
    <row r="85" spans="1:9" ht="13.5" thickBot="1">
      <c r="A85" s="117" t="s">
        <v>100</v>
      </c>
      <c r="B85" s="118"/>
      <c r="C85" s="58">
        <f aca="true" t="shared" si="23" ref="C85:I85">C58+C70+C81+C83</f>
        <v>1689317.1600000001</v>
      </c>
      <c r="D85" s="58">
        <f t="shared" si="23"/>
        <v>1698216</v>
      </c>
      <c r="E85" s="58">
        <f t="shared" si="23"/>
        <v>1354288.6600000001</v>
      </c>
      <c r="F85" s="58">
        <f t="shared" si="23"/>
        <v>343927.33999999997</v>
      </c>
      <c r="G85" s="58">
        <f t="shared" si="23"/>
        <v>1780348</v>
      </c>
      <c r="H85" s="58">
        <f t="shared" si="23"/>
        <v>118867</v>
      </c>
      <c r="I85" s="58">
        <f t="shared" si="23"/>
        <v>1899215</v>
      </c>
    </row>
    <row r="86" spans="1:9" ht="12.75">
      <c r="A86" s="59"/>
      <c r="B86" s="7"/>
      <c r="C86" s="60"/>
      <c r="D86" s="60"/>
      <c r="E86" s="60"/>
      <c r="F86" s="60"/>
      <c r="G86" s="60"/>
      <c r="H86" s="60"/>
      <c r="I86" s="60"/>
    </row>
    <row r="87" spans="1:9" ht="12.75">
      <c r="A87" s="59"/>
      <c r="B87" s="70" t="s">
        <v>211</v>
      </c>
      <c r="C87" s="60"/>
      <c r="D87" s="60"/>
      <c r="E87" s="60"/>
      <c r="F87" s="60"/>
      <c r="G87" s="71"/>
      <c r="H87" s="60"/>
      <c r="I87" s="60"/>
    </row>
  </sheetData>
  <mergeCells count="11">
    <mergeCell ref="H3:H4"/>
    <mergeCell ref="I3:I4"/>
    <mergeCell ref="A83:B83"/>
    <mergeCell ref="A85:B85"/>
    <mergeCell ref="A1:G2"/>
    <mergeCell ref="A3:B5"/>
    <mergeCell ref="C3:C4"/>
    <mergeCell ref="D3:D4"/>
    <mergeCell ref="E3:E4"/>
    <mergeCell ref="F3:F4"/>
    <mergeCell ref="G3:G4"/>
  </mergeCells>
  <printOptions gridLines="1"/>
  <pageMargins left="0.36" right="0.33" top="1" bottom="1" header="0.5" footer="0.5"/>
  <pageSetup horizontalDpi="150" verticalDpi="15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A1" sqref="A1:G2"/>
    </sheetView>
  </sheetViews>
  <sheetFormatPr defaultColWidth="9.140625" defaultRowHeight="12.75"/>
  <cols>
    <col min="1" max="1" width="5.57421875" style="0" bestFit="1" customWidth="1"/>
    <col min="2" max="2" width="36.00390625" style="0" bestFit="1" customWidth="1"/>
    <col min="3" max="9" width="13.7109375" style="0" customWidth="1"/>
  </cols>
  <sheetData>
    <row r="1" spans="1:7" ht="12.75">
      <c r="A1" s="102" t="s">
        <v>212</v>
      </c>
      <c r="B1" s="103"/>
      <c r="C1" s="103"/>
      <c r="D1" s="103"/>
      <c r="E1" s="103"/>
      <c r="F1" s="103"/>
      <c r="G1" s="103"/>
    </row>
    <row r="2" spans="1:7" ht="13.5" thickBot="1">
      <c r="A2" s="105"/>
      <c r="B2" s="106"/>
      <c r="C2" s="106"/>
      <c r="D2" s="106"/>
      <c r="E2" s="106"/>
      <c r="F2" s="106"/>
      <c r="G2" s="106"/>
    </row>
    <row r="3" spans="1:9" ht="12.75">
      <c r="A3" s="109" t="s">
        <v>157</v>
      </c>
      <c r="B3" s="110"/>
      <c r="C3" s="119" t="s">
        <v>0</v>
      </c>
      <c r="D3" s="115"/>
      <c r="E3" s="119" t="s">
        <v>1</v>
      </c>
      <c r="F3" s="115"/>
      <c r="G3" s="115"/>
      <c r="H3" s="119" t="s">
        <v>2</v>
      </c>
      <c r="I3" s="115"/>
    </row>
    <row r="4" spans="1:9" ht="12.75">
      <c r="A4" s="111"/>
      <c r="B4" s="112"/>
      <c r="C4" s="120"/>
      <c r="D4" s="116"/>
      <c r="E4" s="120"/>
      <c r="F4" s="116"/>
      <c r="G4" s="116"/>
      <c r="H4" s="120"/>
      <c r="I4" s="116"/>
    </row>
    <row r="5" spans="1:9" ht="13.5" thickBot="1">
      <c r="A5" s="111"/>
      <c r="B5" s="112"/>
      <c r="C5" s="2" t="s">
        <v>3</v>
      </c>
      <c r="D5" s="2" t="s">
        <v>139</v>
      </c>
      <c r="E5" s="2" t="s">
        <v>3</v>
      </c>
      <c r="F5" s="2" t="s">
        <v>213</v>
      </c>
      <c r="G5" s="2" t="s">
        <v>214</v>
      </c>
      <c r="H5" s="2" t="s">
        <v>215</v>
      </c>
      <c r="I5" s="2" t="s">
        <v>216</v>
      </c>
    </row>
    <row r="6" spans="1:9" ht="13.5" thickBot="1">
      <c r="A6" s="3" t="s">
        <v>161</v>
      </c>
      <c r="B6" s="4" t="s">
        <v>162</v>
      </c>
      <c r="C6" s="5"/>
      <c r="D6" s="5"/>
      <c r="E6" s="5"/>
      <c r="F6" s="5"/>
      <c r="G6" s="5"/>
      <c r="H6" s="5"/>
      <c r="I6" s="5"/>
    </row>
    <row r="7" spans="1:9" ht="12.75">
      <c r="A7" s="6"/>
      <c r="B7" s="7" t="s">
        <v>47</v>
      </c>
      <c r="C7" s="9">
        <v>88520.59</v>
      </c>
      <c r="D7" s="8">
        <v>88520</v>
      </c>
      <c r="E7" s="8">
        <v>74587.25</v>
      </c>
      <c r="F7" s="8">
        <f>SUM(D7-E7)</f>
        <v>13932.75</v>
      </c>
      <c r="G7" s="8">
        <v>96102</v>
      </c>
      <c r="H7" s="8"/>
      <c r="I7" s="8">
        <f>SUM(G7:H7)</f>
        <v>96102</v>
      </c>
    </row>
    <row r="8" spans="1:9" ht="12.75">
      <c r="A8" s="6"/>
      <c r="B8" s="7" t="s">
        <v>163</v>
      </c>
      <c r="C8" s="9">
        <v>38486.33</v>
      </c>
      <c r="D8" s="8">
        <v>38542</v>
      </c>
      <c r="E8" s="8">
        <v>27602.05</v>
      </c>
      <c r="F8" s="8">
        <f>SUM(D8-E8)</f>
        <v>10939.95</v>
      </c>
      <c r="G8" s="8">
        <v>40042</v>
      </c>
      <c r="H8" s="8"/>
      <c r="I8" s="8">
        <f>SUM(G8:H8)</f>
        <v>40042</v>
      </c>
    </row>
    <row r="9" spans="1:9" ht="12.75">
      <c r="A9" s="6"/>
      <c r="B9" s="7" t="s">
        <v>164</v>
      </c>
      <c r="C9" s="9">
        <v>3688.79</v>
      </c>
      <c r="D9" s="8">
        <v>1900</v>
      </c>
      <c r="E9" s="8">
        <v>1815.19</v>
      </c>
      <c r="F9" s="8">
        <f>SUM(D9-E9)</f>
        <v>84.80999999999995</v>
      </c>
      <c r="G9" s="8">
        <v>0</v>
      </c>
      <c r="H9" s="8"/>
      <c r="I9" s="8">
        <f>SUM(G9:H9)</f>
        <v>0</v>
      </c>
    </row>
    <row r="10" spans="1:9" ht="12.75">
      <c r="A10" s="6"/>
      <c r="B10" s="7" t="s">
        <v>165</v>
      </c>
      <c r="C10" s="9">
        <v>2608.54</v>
      </c>
      <c r="D10" s="8">
        <v>1500</v>
      </c>
      <c r="E10" s="8">
        <v>718.71</v>
      </c>
      <c r="F10" s="8">
        <f>SUM(D10-E10)</f>
        <v>781.29</v>
      </c>
      <c r="G10" s="8">
        <v>2751</v>
      </c>
      <c r="H10" s="8"/>
      <c r="I10" s="8">
        <f>SUM(G10:H10)</f>
        <v>2751</v>
      </c>
    </row>
    <row r="11" spans="1:9" ht="12.75">
      <c r="A11" s="6"/>
      <c r="B11" s="7" t="s">
        <v>167</v>
      </c>
      <c r="C11" s="9">
        <v>5605.9</v>
      </c>
      <c r="D11" s="8">
        <v>6000</v>
      </c>
      <c r="E11" s="8">
        <v>3143.77</v>
      </c>
      <c r="F11" s="8">
        <f>SUM(D11-E11)</f>
        <v>2856.23</v>
      </c>
      <c r="G11" s="8">
        <v>6000</v>
      </c>
      <c r="H11" s="8"/>
      <c r="I11" s="8">
        <f>SUM(G11:H11)</f>
        <v>6000</v>
      </c>
    </row>
    <row r="12" spans="1:9" s="73" customFormat="1" ht="13.5" thickBot="1">
      <c r="A12" s="18"/>
      <c r="B12" s="11" t="s">
        <v>9</v>
      </c>
      <c r="C12" s="72">
        <f aca="true" t="shared" si="0" ref="C12:I12">SUM(C7:C11)</f>
        <v>138910.15</v>
      </c>
      <c r="D12" s="72">
        <f t="shared" si="0"/>
        <v>136462</v>
      </c>
      <c r="E12" s="72">
        <f t="shared" si="0"/>
        <v>107866.97000000002</v>
      </c>
      <c r="F12" s="72">
        <f t="shared" si="0"/>
        <v>28595.030000000002</v>
      </c>
      <c r="G12" s="72">
        <f t="shared" si="0"/>
        <v>144895</v>
      </c>
      <c r="H12" s="72">
        <f t="shared" si="0"/>
        <v>0</v>
      </c>
      <c r="I12" s="72">
        <f t="shared" si="0"/>
        <v>144895</v>
      </c>
    </row>
    <row r="13" spans="1:9" ht="13.5" thickBot="1">
      <c r="A13" s="3" t="s">
        <v>168</v>
      </c>
      <c r="B13" s="4" t="s">
        <v>169</v>
      </c>
      <c r="C13" s="5"/>
      <c r="D13" s="5"/>
      <c r="E13" s="5"/>
      <c r="F13" s="5"/>
      <c r="G13" s="5"/>
      <c r="H13" s="5"/>
      <c r="I13" s="5"/>
    </row>
    <row r="14" spans="1:9" ht="12.75">
      <c r="A14" s="6"/>
      <c r="B14" s="13" t="s">
        <v>170</v>
      </c>
      <c r="C14" s="15">
        <v>63532.96</v>
      </c>
      <c r="D14" s="14">
        <v>70402</v>
      </c>
      <c r="E14" s="14">
        <v>51375.83</v>
      </c>
      <c r="F14" s="8">
        <f aca="true" t="shared" si="1" ref="F14:F20">SUM(D14-E14)</f>
        <v>19026.17</v>
      </c>
      <c r="G14" s="14">
        <v>73790</v>
      </c>
      <c r="H14" s="14"/>
      <c r="I14" s="8">
        <f aca="true" t="shared" si="2" ref="I14:I20">SUM(G14:H14)</f>
        <v>73790</v>
      </c>
    </row>
    <row r="15" spans="1:9" ht="12.75">
      <c r="A15" s="6"/>
      <c r="B15" s="13" t="s">
        <v>171</v>
      </c>
      <c r="C15" s="15">
        <v>889551.52</v>
      </c>
      <c r="D15" s="14">
        <v>871004</v>
      </c>
      <c r="E15" s="14">
        <v>652890.87</v>
      </c>
      <c r="F15" s="8">
        <f t="shared" si="1"/>
        <v>218113.13</v>
      </c>
      <c r="G15" s="14">
        <v>876163</v>
      </c>
      <c r="H15" s="14"/>
      <c r="I15" s="8">
        <f t="shared" si="2"/>
        <v>876163</v>
      </c>
    </row>
    <row r="16" spans="1:9" ht="12.75">
      <c r="A16" s="6"/>
      <c r="B16" s="13" t="s">
        <v>172</v>
      </c>
      <c r="C16" s="15">
        <v>60619.02</v>
      </c>
      <c r="D16" s="14">
        <v>62438</v>
      </c>
      <c r="E16" s="14">
        <v>47944.32</v>
      </c>
      <c r="F16" s="8">
        <f t="shared" si="1"/>
        <v>14493.68</v>
      </c>
      <c r="G16" s="14">
        <v>68713</v>
      </c>
      <c r="H16" s="14"/>
      <c r="I16" s="8">
        <f t="shared" si="2"/>
        <v>68713</v>
      </c>
    </row>
    <row r="17" spans="1:9" ht="12.75">
      <c r="A17" s="6"/>
      <c r="B17" s="7" t="s">
        <v>173</v>
      </c>
      <c r="C17" s="9">
        <v>50325.57</v>
      </c>
      <c r="D17" s="8">
        <v>49054</v>
      </c>
      <c r="E17" s="8">
        <v>40095.36</v>
      </c>
      <c r="F17" s="8">
        <f t="shared" si="1"/>
        <v>8958.64</v>
      </c>
      <c r="G17" s="8">
        <v>53714</v>
      </c>
      <c r="H17" s="8"/>
      <c r="I17" s="8">
        <f t="shared" si="2"/>
        <v>53714</v>
      </c>
    </row>
    <row r="18" spans="1:9" ht="12.75">
      <c r="A18" s="6"/>
      <c r="B18" s="7" t="s">
        <v>303</v>
      </c>
      <c r="C18" s="9"/>
      <c r="D18" s="8"/>
      <c r="E18" s="8"/>
      <c r="F18" s="8"/>
      <c r="G18" s="8"/>
      <c r="H18" s="8">
        <v>131870</v>
      </c>
      <c r="I18" s="8">
        <f>SUM(G18:H18)</f>
        <v>131870</v>
      </c>
    </row>
    <row r="19" spans="1:9" ht="12.75">
      <c r="A19" s="6"/>
      <c r="B19" s="7" t="s">
        <v>174</v>
      </c>
      <c r="C19" s="9">
        <v>2800</v>
      </c>
      <c r="D19" s="17">
        <v>2800</v>
      </c>
      <c r="E19" s="17">
        <v>2800</v>
      </c>
      <c r="F19" s="8">
        <f t="shared" si="1"/>
        <v>0</v>
      </c>
      <c r="G19" s="17">
        <v>0</v>
      </c>
      <c r="H19" s="17"/>
      <c r="I19" s="8">
        <f t="shared" si="2"/>
        <v>0</v>
      </c>
    </row>
    <row r="20" spans="1:9" ht="12.75">
      <c r="A20" s="6"/>
      <c r="B20" s="7" t="s">
        <v>175</v>
      </c>
      <c r="C20" s="9">
        <v>0</v>
      </c>
      <c r="D20" s="17">
        <v>0</v>
      </c>
      <c r="E20" s="17"/>
      <c r="F20" s="8">
        <f t="shared" si="1"/>
        <v>0</v>
      </c>
      <c r="G20" s="17">
        <v>0</v>
      </c>
      <c r="H20" s="17"/>
      <c r="I20" s="8">
        <f t="shared" si="2"/>
        <v>0</v>
      </c>
    </row>
    <row r="21" spans="1:9" s="73" customFormat="1" ht="13.5" thickBot="1">
      <c r="A21" s="18"/>
      <c r="B21" s="11" t="s">
        <v>9</v>
      </c>
      <c r="C21" s="72">
        <f aca="true" t="shared" si="3" ref="C21:I21">SUM(C14:C20)</f>
        <v>1066829.07</v>
      </c>
      <c r="D21" s="72">
        <f t="shared" si="3"/>
        <v>1055698</v>
      </c>
      <c r="E21" s="19">
        <f t="shared" si="3"/>
        <v>795106.3799999999</v>
      </c>
      <c r="F21" s="19">
        <f t="shared" si="3"/>
        <v>260591.62</v>
      </c>
      <c r="G21" s="72">
        <f t="shared" si="3"/>
        <v>1072380</v>
      </c>
      <c r="H21" s="19">
        <f t="shared" si="3"/>
        <v>131870</v>
      </c>
      <c r="I21" s="19">
        <f t="shared" si="3"/>
        <v>1204250</v>
      </c>
    </row>
    <row r="22" spans="1:9" ht="13.5" thickBot="1">
      <c r="A22" s="3" t="s">
        <v>38</v>
      </c>
      <c r="B22" s="65" t="s">
        <v>176</v>
      </c>
      <c r="C22" s="5"/>
      <c r="D22" s="5"/>
      <c r="E22" s="5"/>
      <c r="F22" s="5"/>
      <c r="G22" s="5"/>
      <c r="H22" s="5"/>
      <c r="I22" s="5"/>
    </row>
    <row r="23" spans="1:9" ht="12.75">
      <c r="A23" s="6"/>
      <c r="B23" s="13" t="s">
        <v>177</v>
      </c>
      <c r="C23" s="15">
        <v>335038.62</v>
      </c>
      <c r="D23" s="14">
        <v>343345</v>
      </c>
      <c r="E23" s="14">
        <v>246548.66</v>
      </c>
      <c r="F23" s="8">
        <f>SUM(D23-E23)</f>
        <v>96796.34</v>
      </c>
      <c r="G23" s="14">
        <v>363066</v>
      </c>
      <c r="H23" s="14"/>
      <c r="I23" s="8">
        <f>SUM(G23:H23)</f>
        <v>363066</v>
      </c>
    </row>
    <row r="24" spans="1:9" ht="12.75">
      <c r="A24" s="6"/>
      <c r="B24" s="13" t="s">
        <v>178</v>
      </c>
      <c r="C24" s="74">
        <v>0</v>
      </c>
      <c r="D24" s="14"/>
      <c r="E24" s="14"/>
      <c r="F24" s="8">
        <f>SUM(D24-E24)</f>
        <v>0</v>
      </c>
      <c r="G24" s="14">
        <v>14427</v>
      </c>
      <c r="H24" s="14"/>
      <c r="I24" s="8">
        <f>SUM(G24:H24)</f>
        <v>14427</v>
      </c>
    </row>
    <row r="25" spans="1:9" ht="12.75">
      <c r="A25" s="6"/>
      <c r="B25" s="75" t="s">
        <v>180</v>
      </c>
      <c r="C25" s="74">
        <v>0</v>
      </c>
      <c r="D25" s="14"/>
      <c r="E25" s="14"/>
      <c r="F25" s="8">
        <f>SUM(D25-E25)</f>
        <v>0</v>
      </c>
      <c r="G25" s="14">
        <v>15097</v>
      </c>
      <c r="H25" s="14"/>
      <c r="I25" s="8">
        <f>SUM(G25:H25)</f>
        <v>15097</v>
      </c>
    </row>
    <row r="26" spans="1:9" ht="12.75">
      <c r="A26" s="76"/>
      <c r="B26" s="75" t="s">
        <v>217</v>
      </c>
      <c r="C26" s="77">
        <v>0</v>
      </c>
      <c r="D26" s="78"/>
      <c r="E26" s="14"/>
      <c r="F26" s="8">
        <f>SUM(D26-E26)</f>
        <v>0</v>
      </c>
      <c r="G26" s="78">
        <v>13240</v>
      </c>
      <c r="H26" s="14"/>
      <c r="I26" s="8">
        <f>SUM(G26:H26)</f>
        <v>13240</v>
      </c>
    </row>
    <row r="27" spans="1:9" s="73" customFormat="1" ht="13.5" thickBot="1">
      <c r="A27" s="6"/>
      <c r="B27" s="37" t="s">
        <v>9</v>
      </c>
      <c r="C27" s="79">
        <f aca="true" t="shared" si="4" ref="C27:I27">SUM(C23:C26)</f>
        <v>335038.62</v>
      </c>
      <c r="D27" s="79">
        <f t="shared" si="4"/>
        <v>343345</v>
      </c>
      <c r="E27" s="38">
        <f t="shared" si="4"/>
        <v>246548.66</v>
      </c>
      <c r="F27" s="38">
        <f t="shared" si="4"/>
        <v>96796.34</v>
      </c>
      <c r="G27" s="79">
        <f t="shared" si="4"/>
        <v>405830</v>
      </c>
      <c r="H27" s="38">
        <f t="shared" si="4"/>
        <v>0</v>
      </c>
      <c r="I27" s="38">
        <f t="shared" si="4"/>
        <v>405830</v>
      </c>
    </row>
    <row r="28" spans="1:9" ht="13.5" thickBot="1">
      <c r="A28" s="3" t="s">
        <v>48</v>
      </c>
      <c r="B28" s="4" t="s">
        <v>181</v>
      </c>
      <c r="C28" s="5"/>
      <c r="D28" s="5"/>
      <c r="E28" s="5"/>
      <c r="F28" s="5"/>
      <c r="G28" s="5"/>
      <c r="H28" s="5"/>
      <c r="I28" s="5"/>
    </row>
    <row r="29" spans="1:9" ht="12.75">
      <c r="A29" s="6"/>
      <c r="B29" s="13" t="s">
        <v>182</v>
      </c>
      <c r="C29" s="15">
        <v>25735.17</v>
      </c>
      <c r="D29" s="14">
        <v>46280</v>
      </c>
      <c r="E29" s="14">
        <v>35354.68</v>
      </c>
      <c r="F29" s="8">
        <f>SUM(D29-E29)</f>
        <v>10925.32</v>
      </c>
      <c r="G29" s="14">
        <v>46280</v>
      </c>
      <c r="H29" s="14"/>
      <c r="I29" s="8">
        <f>SUM(G29:H29)</f>
        <v>46280</v>
      </c>
    </row>
    <row r="30" spans="1:9" s="73" customFormat="1" ht="13.5" thickBot="1">
      <c r="A30" s="10"/>
      <c r="B30" s="11" t="s">
        <v>9</v>
      </c>
      <c r="C30" s="72">
        <f aca="true" t="shared" si="5" ref="C30:I30">SUM(C29)</f>
        <v>25735.17</v>
      </c>
      <c r="D30" s="72">
        <f t="shared" si="5"/>
        <v>46280</v>
      </c>
      <c r="E30" s="19">
        <f t="shared" si="5"/>
        <v>35354.68</v>
      </c>
      <c r="F30" s="19">
        <f t="shared" si="5"/>
        <v>10925.32</v>
      </c>
      <c r="G30" s="72">
        <f t="shared" si="5"/>
        <v>46280</v>
      </c>
      <c r="H30" s="19">
        <f t="shared" si="5"/>
        <v>0</v>
      </c>
      <c r="I30" s="19">
        <f t="shared" si="5"/>
        <v>46280</v>
      </c>
    </row>
    <row r="31" spans="1:9" ht="13.5" thickBot="1">
      <c r="A31" s="3" t="s">
        <v>49</v>
      </c>
      <c r="B31" s="4" t="s">
        <v>183</v>
      </c>
      <c r="C31" s="5"/>
      <c r="D31" s="5"/>
      <c r="E31" s="5"/>
      <c r="F31" s="5"/>
      <c r="G31" s="5"/>
      <c r="H31" s="5"/>
      <c r="I31" s="5"/>
    </row>
    <row r="32" spans="1:9" ht="12.75">
      <c r="A32" s="6"/>
      <c r="B32" s="13" t="s">
        <v>184</v>
      </c>
      <c r="C32" s="15">
        <v>176956.32</v>
      </c>
      <c r="D32" s="14">
        <v>155802</v>
      </c>
      <c r="E32" s="14">
        <v>128237.74</v>
      </c>
      <c r="F32" s="8">
        <f>SUM(D32-E32)</f>
        <v>27564.259999999995</v>
      </c>
      <c r="G32" s="14">
        <v>201286</v>
      </c>
      <c r="H32" s="14"/>
      <c r="I32" s="8">
        <f>SUM(G32:H32)</f>
        <v>201286</v>
      </c>
    </row>
    <row r="33" spans="1:9" ht="12.75">
      <c r="A33" s="6"/>
      <c r="B33" s="13" t="s">
        <v>185</v>
      </c>
      <c r="C33" s="15">
        <v>9089</v>
      </c>
      <c r="D33" s="14">
        <v>18456</v>
      </c>
      <c r="E33" s="14"/>
      <c r="F33" s="8">
        <f>SUM(D33-E33)</f>
        <v>18456</v>
      </c>
      <c r="G33" s="14">
        <v>20686</v>
      </c>
      <c r="H33" s="14"/>
      <c r="I33" s="8">
        <f>SUM(G33:H33)</f>
        <v>20686</v>
      </c>
    </row>
    <row r="34" spans="1:9" ht="12.75">
      <c r="A34" s="6"/>
      <c r="B34" s="7" t="s">
        <v>218</v>
      </c>
      <c r="C34" s="9">
        <v>0</v>
      </c>
      <c r="D34" s="8">
        <v>0</v>
      </c>
      <c r="E34" s="14"/>
      <c r="F34" s="8">
        <f>SUM(D34-E34)</f>
        <v>0</v>
      </c>
      <c r="G34" s="8">
        <v>0</v>
      </c>
      <c r="H34" s="14"/>
      <c r="I34" s="8">
        <f>SUM(G34:H34)</f>
        <v>0</v>
      </c>
    </row>
    <row r="35" spans="1:9" s="73" customFormat="1" ht="13.5" thickBot="1">
      <c r="A35" s="10"/>
      <c r="B35" s="11" t="s">
        <v>9</v>
      </c>
      <c r="C35" s="80">
        <f>SUM(C32:C34)</f>
        <v>186045.32</v>
      </c>
      <c r="D35" s="80">
        <f>SUM(D32:D34)</f>
        <v>174258</v>
      </c>
      <c r="E35" s="12">
        <f>SUM(E32:E33)</f>
        <v>128237.74</v>
      </c>
      <c r="F35" s="12">
        <f>SUM(F32:F33)</f>
        <v>46020.259999999995</v>
      </c>
      <c r="G35" s="80">
        <f>SUM(G32:G34)</f>
        <v>221972</v>
      </c>
      <c r="H35" s="12">
        <f>SUM(H32:H33)</f>
        <v>0</v>
      </c>
      <c r="I35" s="12">
        <f>SUM(I32:I33)</f>
        <v>221972</v>
      </c>
    </row>
    <row r="36" spans="1:9" ht="13.5" thickBot="1">
      <c r="A36" s="3" t="s">
        <v>51</v>
      </c>
      <c r="B36" s="4" t="s">
        <v>186</v>
      </c>
      <c r="C36" s="5"/>
      <c r="D36" s="5"/>
      <c r="E36" s="5"/>
      <c r="F36" s="5"/>
      <c r="G36" s="5"/>
      <c r="H36" s="5"/>
      <c r="I36" s="5"/>
    </row>
    <row r="37" spans="1:9" ht="12.75">
      <c r="A37" s="6"/>
      <c r="B37" s="7" t="s">
        <v>187</v>
      </c>
      <c r="C37" s="9">
        <v>2645</v>
      </c>
      <c r="D37" s="8">
        <v>300</v>
      </c>
      <c r="E37" s="8">
        <v>262.5</v>
      </c>
      <c r="F37" s="8">
        <f>SUM(D37-E37)</f>
        <v>37.5</v>
      </c>
      <c r="G37" s="8">
        <v>4000</v>
      </c>
      <c r="H37" s="8"/>
      <c r="I37" s="8">
        <f>SUM(G37:H37)</f>
        <v>4000</v>
      </c>
    </row>
    <row r="38" spans="1:9" ht="12.75">
      <c r="A38" s="6"/>
      <c r="B38" s="7" t="s">
        <v>166</v>
      </c>
      <c r="C38" s="9">
        <v>89</v>
      </c>
      <c r="D38" s="8">
        <v>0</v>
      </c>
      <c r="E38" s="8"/>
      <c r="F38" s="8">
        <f>SUM(D38-E38)</f>
        <v>0</v>
      </c>
      <c r="G38" s="8"/>
      <c r="H38" s="8"/>
      <c r="I38" s="8">
        <f>SUM(G38:H38)</f>
        <v>0</v>
      </c>
    </row>
    <row r="39" spans="1:9" ht="12.75">
      <c r="A39" s="6"/>
      <c r="B39" s="7" t="s">
        <v>188</v>
      </c>
      <c r="C39" s="9">
        <f>94+395</f>
        <v>489</v>
      </c>
      <c r="D39" s="8">
        <v>1000</v>
      </c>
      <c r="E39" s="8">
        <v>1105</v>
      </c>
      <c r="F39" s="8">
        <f>SUM(D39-E39)</f>
        <v>-105</v>
      </c>
      <c r="G39" s="8">
        <v>3000</v>
      </c>
      <c r="H39" s="8"/>
      <c r="I39" s="8">
        <f>SUM(G39:H39)</f>
        <v>3000</v>
      </c>
    </row>
    <row r="40" spans="1:9" s="73" customFormat="1" ht="13.5" thickBot="1">
      <c r="A40" s="23"/>
      <c r="B40" s="24" t="s">
        <v>9</v>
      </c>
      <c r="C40" s="81">
        <f aca="true" t="shared" si="6" ref="C40:I40">SUM(C37:C39)</f>
        <v>3223</v>
      </c>
      <c r="D40" s="81">
        <f t="shared" si="6"/>
        <v>1300</v>
      </c>
      <c r="E40" s="41">
        <f t="shared" si="6"/>
        <v>1367.5</v>
      </c>
      <c r="F40" s="41">
        <f t="shared" si="6"/>
        <v>-67.5</v>
      </c>
      <c r="G40" s="81">
        <f t="shared" si="6"/>
        <v>7000</v>
      </c>
      <c r="H40" s="41">
        <f t="shared" si="6"/>
        <v>0</v>
      </c>
      <c r="I40" s="41">
        <f t="shared" si="6"/>
        <v>7000</v>
      </c>
    </row>
    <row r="41" spans="1:9" ht="13.5" thickBot="1">
      <c r="A41" s="43" t="s">
        <v>54</v>
      </c>
      <c r="B41" s="4" t="s">
        <v>55</v>
      </c>
      <c r="C41" s="5"/>
      <c r="D41" s="5"/>
      <c r="E41" s="5"/>
      <c r="F41" s="5"/>
      <c r="G41" s="5"/>
      <c r="H41" s="5"/>
      <c r="I41" s="5"/>
    </row>
    <row r="42" spans="1:9" ht="12.75">
      <c r="A42" s="6"/>
      <c r="B42" s="7" t="s">
        <v>56</v>
      </c>
      <c r="C42" s="15">
        <v>22296.14</v>
      </c>
      <c r="D42" s="8">
        <v>3978</v>
      </c>
      <c r="E42" s="8">
        <v>3422.04</v>
      </c>
      <c r="F42" s="8">
        <f aca="true" t="shared" si="7" ref="F42:F48">SUM(D42-E42)</f>
        <v>555.96</v>
      </c>
      <c r="G42" s="8">
        <v>14828</v>
      </c>
      <c r="H42" s="8"/>
      <c r="I42" s="8">
        <f aca="true" t="shared" si="8" ref="I42:I48">SUM(G42:H42)</f>
        <v>14828</v>
      </c>
    </row>
    <row r="43" spans="1:9" ht="12.75">
      <c r="A43" s="6"/>
      <c r="B43" s="7" t="s">
        <v>189</v>
      </c>
      <c r="C43" s="15">
        <v>0</v>
      </c>
      <c r="D43" s="8">
        <v>950</v>
      </c>
      <c r="E43" s="8">
        <v>2534.68</v>
      </c>
      <c r="F43" s="8">
        <f t="shared" si="7"/>
        <v>-1584.6799999999998</v>
      </c>
      <c r="G43" s="8">
        <v>2950</v>
      </c>
      <c r="H43" s="8"/>
      <c r="I43" s="8">
        <f t="shared" si="8"/>
        <v>2950</v>
      </c>
    </row>
    <row r="44" spans="1:9" ht="12.75">
      <c r="A44" s="6"/>
      <c r="B44" s="7" t="s">
        <v>190</v>
      </c>
      <c r="C44" s="15">
        <v>2188.04</v>
      </c>
      <c r="D44" s="8">
        <v>1040</v>
      </c>
      <c r="E44" s="8">
        <v>1309.4</v>
      </c>
      <c r="F44" s="8">
        <f t="shared" si="7"/>
        <v>-269.4000000000001</v>
      </c>
      <c r="G44" s="8">
        <v>0</v>
      </c>
      <c r="H44" s="8"/>
      <c r="I44" s="8">
        <f t="shared" si="8"/>
        <v>0</v>
      </c>
    </row>
    <row r="45" spans="1:9" ht="12.75">
      <c r="A45" s="6"/>
      <c r="B45" s="7" t="s">
        <v>191</v>
      </c>
      <c r="C45" s="9">
        <v>34864.03</v>
      </c>
      <c r="D45" s="8">
        <v>18000</v>
      </c>
      <c r="E45" s="8">
        <v>20871.25</v>
      </c>
      <c r="F45" s="8">
        <f t="shared" si="7"/>
        <v>-2871.25</v>
      </c>
      <c r="G45" s="8">
        <v>6532</v>
      </c>
      <c r="H45" s="8"/>
      <c r="I45" s="8">
        <f t="shared" si="8"/>
        <v>6532</v>
      </c>
    </row>
    <row r="46" spans="1:9" ht="12.75">
      <c r="A46" s="6"/>
      <c r="B46" s="7" t="s">
        <v>192</v>
      </c>
      <c r="C46" s="9">
        <v>0</v>
      </c>
      <c r="D46" s="8">
        <v>0</v>
      </c>
      <c r="E46" s="8"/>
      <c r="F46" s="8">
        <f t="shared" si="7"/>
        <v>0</v>
      </c>
      <c r="G46" s="8">
        <v>0</v>
      </c>
      <c r="H46" s="8"/>
      <c r="I46" s="8">
        <f t="shared" si="8"/>
        <v>0</v>
      </c>
    </row>
    <row r="47" spans="1:9" ht="12.75">
      <c r="A47" s="6"/>
      <c r="B47" s="7" t="s">
        <v>219</v>
      </c>
      <c r="C47" s="9">
        <v>32.65</v>
      </c>
      <c r="D47" s="8">
        <v>100</v>
      </c>
      <c r="E47" s="8"/>
      <c r="F47" s="8">
        <f t="shared" si="7"/>
        <v>100</v>
      </c>
      <c r="G47" s="8">
        <v>103</v>
      </c>
      <c r="H47" s="8"/>
      <c r="I47" s="8">
        <f t="shared" si="8"/>
        <v>103</v>
      </c>
    </row>
    <row r="48" spans="1:9" ht="12.75">
      <c r="A48" s="6"/>
      <c r="B48" s="7" t="s">
        <v>220</v>
      </c>
      <c r="C48" s="9">
        <v>1158.53</v>
      </c>
      <c r="D48" s="8">
        <v>2500</v>
      </c>
      <c r="E48" s="8">
        <v>1180.91</v>
      </c>
      <c r="F48" s="8">
        <f t="shared" si="7"/>
        <v>1319.09</v>
      </c>
      <c r="G48" s="8">
        <v>2563</v>
      </c>
      <c r="H48" s="8"/>
      <c r="I48" s="8">
        <f t="shared" si="8"/>
        <v>2563</v>
      </c>
    </row>
    <row r="49" spans="1:9" s="73" customFormat="1" ht="13.5" thickBot="1">
      <c r="A49" s="10"/>
      <c r="B49" s="11" t="s">
        <v>9</v>
      </c>
      <c r="C49" s="80">
        <f aca="true" t="shared" si="9" ref="C49:I49">SUM(C42:C48)</f>
        <v>60539.39</v>
      </c>
      <c r="D49" s="80">
        <f t="shared" si="9"/>
        <v>26568</v>
      </c>
      <c r="E49" s="12">
        <f t="shared" si="9"/>
        <v>29318.28</v>
      </c>
      <c r="F49" s="12">
        <f t="shared" si="9"/>
        <v>-2750.2799999999997</v>
      </c>
      <c r="G49" s="80">
        <f t="shared" si="9"/>
        <v>26976</v>
      </c>
      <c r="H49" s="12">
        <f t="shared" si="9"/>
        <v>0</v>
      </c>
      <c r="I49" s="12">
        <f t="shared" si="9"/>
        <v>26976</v>
      </c>
    </row>
    <row r="50" spans="1:9" ht="13.5" thickBot="1">
      <c r="A50" s="3" t="s">
        <v>58</v>
      </c>
      <c r="B50" s="4" t="s">
        <v>314</v>
      </c>
      <c r="C50" s="5"/>
      <c r="D50" s="5"/>
      <c r="E50" s="5"/>
      <c r="F50" s="5"/>
      <c r="G50" s="5"/>
      <c r="H50" s="5"/>
      <c r="I50" s="5"/>
    </row>
    <row r="51" spans="1:9" ht="12.75">
      <c r="A51" s="6"/>
      <c r="B51" s="7" t="s">
        <v>312</v>
      </c>
      <c r="C51" s="9">
        <v>5829</v>
      </c>
      <c r="D51" s="8">
        <v>7000</v>
      </c>
      <c r="E51" s="8">
        <v>1039.02</v>
      </c>
      <c r="F51" s="8">
        <f>SUM(D51-E51)</f>
        <v>5960.98</v>
      </c>
      <c r="G51" s="8">
        <v>7000</v>
      </c>
      <c r="H51" s="8"/>
      <c r="I51" s="8">
        <f>SUM(G51:H51)</f>
        <v>7000</v>
      </c>
    </row>
    <row r="52" spans="1:9" ht="12.75">
      <c r="A52" s="6"/>
      <c r="B52" s="7" t="s">
        <v>208</v>
      </c>
      <c r="C52" s="9">
        <v>6391.74</v>
      </c>
      <c r="D52" s="8">
        <v>7000</v>
      </c>
      <c r="E52" s="8">
        <v>9391.76</v>
      </c>
      <c r="F52" s="8">
        <f>SUM(D52-E52)</f>
        <v>-2391.76</v>
      </c>
      <c r="G52" s="8">
        <v>8000</v>
      </c>
      <c r="H52" s="8"/>
      <c r="I52" s="8">
        <f>SUM(G52:H52)</f>
        <v>8000</v>
      </c>
    </row>
    <row r="53" spans="1:9" ht="12.75">
      <c r="A53" s="6"/>
      <c r="B53" s="7" t="s">
        <v>30</v>
      </c>
      <c r="C53" s="9">
        <v>12570</v>
      </c>
      <c r="D53" s="8">
        <v>7000</v>
      </c>
      <c r="E53" s="8">
        <v>1060</v>
      </c>
      <c r="F53" s="8">
        <f>SUM(D53-E53)</f>
        <v>5940</v>
      </c>
      <c r="G53" s="8">
        <v>7550</v>
      </c>
      <c r="H53" s="8"/>
      <c r="I53" s="8">
        <f>SUM(G53:H53)</f>
        <v>7550</v>
      </c>
    </row>
    <row r="54" spans="1:9" s="73" customFormat="1" ht="13.5" thickBot="1">
      <c r="A54" s="10"/>
      <c r="B54" s="11" t="s">
        <v>9</v>
      </c>
      <c r="C54" s="80">
        <f aca="true" t="shared" si="10" ref="C54:I54">SUM(C51:C53)</f>
        <v>24790.739999999998</v>
      </c>
      <c r="D54" s="80">
        <f t="shared" si="10"/>
        <v>21000</v>
      </c>
      <c r="E54" s="12">
        <f t="shared" si="10"/>
        <v>11490.78</v>
      </c>
      <c r="F54" s="12">
        <f t="shared" si="10"/>
        <v>9509.22</v>
      </c>
      <c r="G54" s="80">
        <f t="shared" si="10"/>
        <v>22550</v>
      </c>
      <c r="H54" s="12">
        <f t="shared" si="10"/>
        <v>0</v>
      </c>
      <c r="I54" s="12">
        <f t="shared" si="10"/>
        <v>22550</v>
      </c>
    </row>
    <row r="55" spans="1:9" ht="13.5" thickBot="1">
      <c r="A55" s="3" t="s">
        <v>60</v>
      </c>
      <c r="B55" s="4" t="s">
        <v>146</v>
      </c>
      <c r="C55" s="5"/>
      <c r="D55" s="5"/>
      <c r="E55" s="5"/>
      <c r="F55" s="5"/>
      <c r="G55" s="5"/>
      <c r="H55" s="5"/>
      <c r="I55" s="5"/>
    </row>
    <row r="56" spans="1:9" ht="12.75">
      <c r="A56" s="6"/>
      <c r="B56" s="7" t="s">
        <v>12</v>
      </c>
      <c r="C56" s="9">
        <v>39244.38</v>
      </c>
      <c r="D56" s="8">
        <v>52763</v>
      </c>
      <c r="E56" s="8">
        <v>38661.94</v>
      </c>
      <c r="F56" s="8">
        <f>SUM(D56-E56)</f>
        <v>14101.059999999998</v>
      </c>
      <c r="G56" s="8">
        <v>54420</v>
      </c>
      <c r="H56" s="8">
        <v>-11918</v>
      </c>
      <c r="I56" s="8">
        <f>SUM(G56:H56)</f>
        <v>42502</v>
      </c>
    </row>
    <row r="57" spans="1:9" ht="12.75">
      <c r="A57" s="6"/>
      <c r="B57" s="7" t="s">
        <v>195</v>
      </c>
      <c r="C57" s="9">
        <v>0</v>
      </c>
      <c r="D57" s="8">
        <v>500</v>
      </c>
      <c r="E57" s="8"/>
      <c r="F57" s="8">
        <f>SUM(D57-E57)</f>
        <v>500</v>
      </c>
      <c r="G57" s="8">
        <v>700</v>
      </c>
      <c r="H57" s="8"/>
      <c r="I57" s="8">
        <f>SUM(G57:H57)</f>
        <v>700</v>
      </c>
    </row>
    <row r="58" spans="1:9" s="73" customFormat="1" ht="13.5" thickBot="1">
      <c r="A58" s="10"/>
      <c r="B58" s="11" t="s">
        <v>9</v>
      </c>
      <c r="C58" s="80">
        <f aca="true" t="shared" si="11" ref="C58:I58">SUM(C56:C57)</f>
        <v>39244.38</v>
      </c>
      <c r="D58" s="80">
        <f t="shared" si="11"/>
        <v>53263</v>
      </c>
      <c r="E58" s="12">
        <f t="shared" si="11"/>
        <v>38661.94</v>
      </c>
      <c r="F58" s="12">
        <f t="shared" si="11"/>
        <v>14601.059999999998</v>
      </c>
      <c r="G58" s="80">
        <f t="shared" si="11"/>
        <v>55120</v>
      </c>
      <c r="H58" s="12">
        <f t="shared" si="11"/>
        <v>-11918</v>
      </c>
      <c r="I58" s="12">
        <f t="shared" si="11"/>
        <v>43202</v>
      </c>
    </row>
    <row r="59" spans="1:9" ht="14.25" thickBot="1" thickTop="1">
      <c r="A59" s="33" t="s">
        <v>64</v>
      </c>
      <c r="B59" s="34" t="s">
        <v>65</v>
      </c>
      <c r="C59" s="48">
        <f aca="true" t="shared" si="12" ref="C59:I59">C58+C54+C49+C40+C35+C30+C27+C21+C12</f>
        <v>1880355.8399999999</v>
      </c>
      <c r="D59" s="48">
        <f t="shared" si="12"/>
        <v>1858174</v>
      </c>
      <c r="E59" s="48">
        <f t="shared" si="12"/>
        <v>1393952.93</v>
      </c>
      <c r="F59" s="48">
        <f t="shared" si="12"/>
        <v>464221.07</v>
      </c>
      <c r="G59" s="48">
        <f t="shared" si="12"/>
        <v>2003003</v>
      </c>
      <c r="H59" s="48">
        <f t="shared" si="12"/>
        <v>119952</v>
      </c>
      <c r="I59" s="48">
        <f t="shared" si="12"/>
        <v>2122955</v>
      </c>
    </row>
    <row r="60" spans="1:9" ht="14.25" thickBot="1" thickTop="1">
      <c r="A60" s="36"/>
      <c r="B60" s="37"/>
      <c r="C60" s="39"/>
      <c r="D60" s="38"/>
      <c r="E60" s="38"/>
      <c r="F60" s="38"/>
      <c r="G60" s="38"/>
      <c r="H60" s="38"/>
      <c r="I60" s="38"/>
    </row>
    <row r="61" spans="1:9" ht="13.5" thickBot="1">
      <c r="A61" s="3" t="s">
        <v>66</v>
      </c>
      <c r="B61" s="4" t="s">
        <v>67</v>
      </c>
      <c r="C61" s="5"/>
      <c r="D61" s="5"/>
      <c r="E61" s="5"/>
      <c r="F61" s="5"/>
      <c r="G61" s="5"/>
      <c r="H61" s="5"/>
      <c r="I61" s="5"/>
    </row>
    <row r="62" spans="1:9" ht="12.75">
      <c r="A62" s="6"/>
      <c r="B62" s="7" t="s">
        <v>196</v>
      </c>
      <c r="C62" s="9">
        <v>48858.18</v>
      </c>
      <c r="D62" s="8">
        <v>52613</v>
      </c>
      <c r="E62" s="8">
        <v>38641.32</v>
      </c>
      <c r="F62" s="8">
        <f>SUM(D62-E62)</f>
        <v>13971.68</v>
      </c>
      <c r="G62" s="8">
        <v>53663</v>
      </c>
      <c r="H62" s="8"/>
      <c r="I62" s="8">
        <f>SUM(G62:H62)</f>
        <v>53663</v>
      </c>
    </row>
    <row r="63" spans="1:9" ht="12.75">
      <c r="A63" s="6"/>
      <c r="B63" s="7" t="s">
        <v>197</v>
      </c>
      <c r="C63" s="9">
        <v>397</v>
      </c>
      <c r="D63" s="8">
        <v>0</v>
      </c>
      <c r="E63" s="8">
        <v>419.52</v>
      </c>
      <c r="F63" s="8">
        <f>SUM(D63-E63)</f>
        <v>-419.52</v>
      </c>
      <c r="G63" s="8">
        <v>0</v>
      </c>
      <c r="H63" s="8"/>
      <c r="I63" s="8">
        <f>SUM(G63:H63)</f>
        <v>0</v>
      </c>
    </row>
    <row r="64" spans="1:9" ht="12.75">
      <c r="A64" s="6"/>
      <c r="B64" s="7" t="s">
        <v>198</v>
      </c>
      <c r="C64" s="9">
        <v>64776.84</v>
      </c>
      <c r="D64" s="8">
        <v>64281</v>
      </c>
      <c r="E64" s="8">
        <v>51851.84</v>
      </c>
      <c r="F64" s="8">
        <f>SUM(D64-E64)</f>
        <v>12429.160000000003</v>
      </c>
      <c r="G64" s="8">
        <v>68874</v>
      </c>
      <c r="H64" s="8"/>
      <c r="I64" s="8">
        <f>SUM(G64:H64)</f>
        <v>68874</v>
      </c>
    </row>
    <row r="65" spans="1:9" ht="12.75">
      <c r="A65" s="6"/>
      <c r="B65" s="7" t="s">
        <v>195</v>
      </c>
      <c r="C65" s="9">
        <v>596.02</v>
      </c>
      <c r="D65" s="8">
        <v>350</v>
      </c>
      <c r="E65" s="8">
        <v>305.54</v>
      </c>
      <c r="F65" s="8">
        <f>SUM(D65-E65)</f>
        <v>44.45999999999998</v>
      </c>
      <c r="G65" s="8">
        <v>362</v>
      </c>
      <c r="H65" s="8"/>
      <c r="I65" s="8">
        <f>SUM(G65:H65)</f>
        <v>362</v>
      </c>
    </row>
    <row r="66" spans="1:9" s="73" customFormat="1" ht="13.5" thickBot="1">
      <c r="A66" s="10"/>
      <c r="B66" s="11" t="s">
        <v>9</v>
      </c>
      <c r="C66" s="80">
        <f aca="true" t="shared" si="13" ref="C66:I66">SUM(C62:C65)</f>
        <v>114628.04</v>
      </c>
      <c r="D66" s="80">
        <f t="shared" si="13"/>
        <v>117244</v>
      </c>
      <c r="E66" s="12">
        <f t="shared" si="13"/>
        <v>91218.21999999999</v>
      </c>
      <c r="F66" s="12">
        <f t="shared" si="13"/>
        <v>26025.780000000002</v>
      </c>
      <c r="G66" s="80">
        <f t="shared" si="13"/>
        <v>122899</v>
      </c>
      <c r="H66" s="12">
        <f t="shared" si="13"/>
        <v>0</v>
      </c>
      <c r="I66" s="12">
        <f t="shared" si="13"/>
        <v>122899</v>
      </c>
    </row>
    <row r="67" spans="1:9" ht="13.5" thickBot="1">
      <c r="A67" s="3" t="s">
        <v>199</v>
      </c>
      <c r="B67" s="4" t="s">
        <v>200</v>
      </c>
      <c r="C67" s="5"/>
      <c r="D67" s="5"/>
      <c r="E67" s="5"/>
      <c r="F67" s="5"/>
      <c r="G67" s="5"/>
      <c r="H67" s="5"/>
      <c r="I67" s="5"/>
    </row>
    <row r="68" spans="1:9" ht="12.75">
      <c r="A68" s="6"/>
      <c r="B68" s="7" t="s">
        <v>201</v>
      </c>
      <c r="C68" s="9">
        <v>3406.55</v>
      </c>
      <c r="D68" s="8">
        <v>1532</v>
      </c>
      <c r="E68" s="8">
        <v>40.5</v>
      </c>
      <c r="F68" s="8">
        <f>SUM(D68-E68)</f>
        <v>1491.5</v>
      </c>
      <c r="G68" s="8">
        <v>0</v>
      </c>
      <c r="H68" s="8"/>
      <c r="I68" s="8">
        <f>SUM(G68:H68)</f>
        <v>0</v>
      </c>
    </row>
    <row r="69" spans="1:9" ht="12.75">
      <c r="A69" s="6"/>
      <c r="B69" s="7" t="s">
        <v>202</v>
      </c>
      <c r="C69" s="42">
        <v>0</v>
      </c>
      <c r="D69" s="8">
        <v>272</v>
      </c>
      <c r="E69" s="8"/>
      <c r="F69" s="8">
        <f>SUM(D69-E69)</f>
        <v>272</v>
      </c>
      <c r="G69" s="8">
        <v>0</v>
      </c>
      <c r="H69" s="8"/>
      <c r="I69" s="8">
        <f>SUM(G69:H69)</f>
        <v>0</v>
      </c>
    </row>
    <row r="70" spans="1:9" s="73" customFormat="1" ht="13.5" thickBot="1">
      <c r="A70" s="10"/>
      <c r="B70" s="11" t="s">
        <v>9</v>
      </c>
      <c r="C70" s="80">
        <f>SUM(C68:C69)</f>
        <v>3406.55</v>
      </c>
      <c r="D70" s="80">
        <f>SUM(D68:D69)</f>
        <v>1804</v>
      </c>
      <c r="E70" s="12">
        <f>SUM(E68:E69)</f>
        <v>40.5</v>
      </c>
      <c r="F70" s="12">
        <f>SUM(F68:F69)</f>
        <v>1763.5</v>
      </c>
      <c r="G70" s="80">
        <f>SUM(G68:G68)</f>
        <v>0</v>
      </c>
      <c r="H70" s="12">
        <f>SUM(H68:H69)</f>
        <v>0</v>
      </c>
      <c r="I70" s="12">
        <f>SUM(I68:I69)</f>
        <v>0</v>
      </c>
    </row>
    <row r="71" spans="1:9" ht="14.25" thickBot="1" thickTop="1">
      <c r="A71" s="66" t="s">
        <v>71</v>
      </c>
      <c r="B71" s="67" t="s">
        <v>72</v>
      </c>
      <c r="C71" s="68">
        <f aca="true" t="shared" si="14" ref="C71:I71">C66+C70</f>
        <v>118034.59</v>
      </c>
      <c r="D71" s="68">
        <f t="shared" si="14"/>
        <v>119048</v>
      </c>
      <c r="E71" s="68">
        <f t="shared" si="14"/>
        <v>91258.71999999999</v>
      </c>
      <c r="F71" s="68">
        <f t="shared" si="14"/>
        <v>27789.280000000002</v>
      </c>
      <c r="G71" s="68">
        <f t="shared" si="14"/>
        <v>122899</v>
      </c>
      <c r="H71" s="68">
        <f t="shared" si="14"/>
        <v>0</v>
      </c>
      <c r="I71" s="68">
        <f t="shared" si="14"/>
        <v>122899</v>
      </c>
    </row>
    <row r="72" spans="1:9" ht="13.5" thickBot="1">
      <c r="A72" s="43" t="s">
        <v>73</v>
      </c>
      <c r="B72" s="52" t="s">
        <v>203</v>
      </c>
      <c r="C72" s="5"/>
      <c r="D72" s="5"/>
      <c r="E72" s="5"/>
      <c r="F72" s="5"/>
      <c r="G72" s="5"/>
      <c r="H72" s="5"/>
      <c r="I72" s="5"/>
    </row>
    <row r="73" spans="1:9" ht="12.75">
      <c r="A73" s="6"/>
      <c r="B73" s="7" t="s">
        <v>7</v>
      </c>
      <c r="C73" s="9">
        <v>80922.09</v>
      </c>
      <c r="D73" s="8">
        <v>86771</v>
      </c>
      <c r="E73" s="8">
        <v>63124.55</v>
      </c>
      <c r="F73" s="8">
        <f aca="true" t="shared" si="15" ref="F73:F81">SUM(D73-E73)</f>
        <v>23646.449999999997</v>
      </c>
      <c r="G73" s="8">
        <v>90141</v>
      </c>
      <c r="H73" s="8"/>
      <c r="I73" s="8">
        <f aca="true" t="shared" si="16" ref="I73:I81">SUM(G73:H73)</f>
        <v>90141</v>
      </c>
    </row>
    <row r="74" spans="1:9" ht="12.75">
      <c r="A74" s="6"/>
      <c r="B74" s="7" t="s">
        <v>307</v>
      </c>
      <c r="C74" s="9"/>
      <c r="D74" s="8"/>
      <c r="E74" s="8">
        <v>2167.44</v>
      </c>
      <c r="F74" s="8"/>
      <c r="G74" s="8"/>
      <c r="H74" s="8"/>
      <c r="I74" s="8"/>
    </row>
    <row r="75" spans="1:9" ht="12.75">
      <c r="A75" s="6"/>
      <c r="B75" s="7" t="s">
        <v>221</v>
      </c>
      <c r="C75" s="9">
        <v>0</v>
      </c>
      <c r="D75" s="8">
        <v>0</v>
      </c>
      <c r="E75" s="8"/>
      <c r="F75" s="8">
        <f t="shared" si="15"/>
        <v>0</v>
      </c>
      <c r="G75" s="8">
        <v>0</v>
      </c>
      <c r="H75" s="8"/>
      <c r="I75" s="8">
        <f t="shared" si="16"/>
        <v>0</v>
      </c>
    </row>
    <row r="76" spans="1:9" ht="12.75">
      <c r="A76" s="6"/>
      <c r="B76" s="7" t="s">
        <v>195</v>
      </c>
      <c r="C76" s="9">
        <v>5896.26</v>
      </c>
      <c r="D76" s="8">
        <v>7000</v>
      </c>
      <c r="E76" s="8">
        <f>7526.38+280</f>
        <v>7806.38</v>
      </c>
      <c r="F76" s="8">
        <f t="shared" si="15"/>
        <v>-806.3800000000001</v>
      </c>
      <c r="G76" s="8">
        <v>8280</v>
      </c>
      <c r="H76" s="8"/>
      <c r="I76" s="8">
        <f t="shared" si="16"/>
        <v>8280</v>
      </c>
    </row>
    <row r="77" spans="1:9" s="73" customFormat="1" ht="13.5" thickBot="1">
      <c r="A77" s="54"/>
      <c r="B77" s="31" t="s">
        <v>204</v>
      </c>
      <c r="C77" s="82">
        <f aca="true" t="shared" si="17" ref="C77:I77">SUM(C73:C76)</f>
        <v>86818.34999999999</v>
      </c>
      <c r="D77" s="82">
        <f t="shared" si="17"/>
        <v>93771</v>
      </c>
      <c r="E77" s="55">
        <f t="shared" si="17"/>
        <v>73098.37000000001</v>
      </c>
      <c r="F77" s="55">
        <f t="shared" si="17"/>
        <v>22840.069999999996</v>
      </c>
      <c r="G77" s="82">
        <f t="shared" si="17"/>
        <v>98421</v>
      </c>
      <c r="H77" s="55">
        <f t="shared" si="17"/>
        <v>0</v>
      </c>
      <c r="I77" s="55">
        <f t="shared" si="17"/>
        <v>98421</v>
      </c>
    </row>
    <row r="78" spans="1:9" ht="13.5" thickTop="1">
      <c r="A78" s="6"/>
      <c r="B78" s="7" t="s">
        <v>205</v>
      </c>
      <c r="C78" s="9">
        <v>47560.67</v>
      </c>
      <c r="D78" s="8">
        <v>56000</v>
      </c>
      <c r="E78" s="8">
        <v>40315.38</v>
      </c>
      <c r="F78" s="8">
        <f t="shared" si="15"/>
        <v>15684.620000000003</v>
      </c>
      <c r="G78" s="8">
        <v>56000</v>
      </c>
      <c r="H78" s="8"/>
      <c r="I78" s="8">
        <f t="shared" si="16"/>
        <v>56000</v>
      </c>
    </row>
    <row r="79" spans="1:9" ht="12.75">
      <c r="A79" s="6"/>
      <c r="B79" s="7" t="s">
        <v>206</v>
      </c>
      <c r="C79" s="9">
        <v>0</v>
      </c>
      <c r="D79" s="8">
        <v>0</v>
      </c>
      <c r="E79" s="8"/>
      <c r="F79" s="8">
        <f t="shared" si="15"/>
        <v>0</v>
      </c>
      <c r="G79" s="8">
        <v>0</v>
      </c>
      <c r="H79" s="8"/>
      <c r="I79" s="8">
        <f t="shared" si="16"/>
        <v>0</v>
      </c>
    </row>
    <row r="80" spans="1:9" ht="12.75">
      <c r="A80" s="6"/>
      <c r="B80" s="7" t="s">
        <v>207</v>
      </c>
      <c r="C80" s="9">
        <v>5195.08</v>
      </c>
      <c r="D80" s="8">
        <v>15000</v>
      </c>
      <c r="E80" s="8">
        <v>11592.43</v>
      </c>
      <c r="F80" s="8">
        <f t="shared" si="15"/>
        <v>3407.5699999999997</v>
      </c>
      <c r="G80" s="8">
        <v>15000</v>
      </c>
      <c r="H80" s="8"/>
      <c r="I80" s="8">
        <f t="shared" si="16"/>
        <v>15000</v>
      </c>
    </row>
    <row r="81" spans="1:9" ht="12.75">
      <c r="A81" s="6"/>
      <c r="B81" s="7" t="s">
        <v>209</v>
      </c>
      <c r="C81" s="9">
        <v>19550.44</v>
      </c>
      <c r="D81" s="8">
        <v>12000</v>
      </c>
      <c r="E81" s="8">
        <v>12265.13</v>
      </c>
      <c r="F81" s="8">
        <f t="shared" si="15"/>
        <v>-265.1299999999992</v>
      </c>
      <c r="G81" s="8">
        <v>12000</v>
      </c>
      <c r="H81" s="8"/>
      <c r="I81" s="8">
        <f t="shared" si="16"/>
        <v>12000</v>
      </c>
    </row>
    <row r="82" spans="1:9" s="73" customFormat="1" ht="13.5" thickBot="1">
      <c r="A82" s="54"/>
      <c r="B82" s="11" t="s">
        <v>210</v>
      </c>
      <c r="C82" s="80">
        <f aca="true" t="shared" si="18" ref="C82:I82">SUM(C78:C81)</f>
        <v>72306.19</v>
      </c>
      <c r="D82" s="80">
        <f t="shared" si="18"/>
        <v>83000</v>
      </c>
      <c r="E82" s="12">
        <f t="shared" si="18"/>
        <v>64172.939999999995</v>
      </c>
      <c r="F82" s="12">
        <f t="shared" si="18"/>
        <v>18827.060000000005</v>
      </c>
      <c r="G82" s="80">
        <f t="shared" si="18"/>
        <v>83000</v>
      </c>
      <c r="H82" s="12">
        <f t="shared" si="18"/>
        <v>0</v>
      </c>
      <c r="I82" s="12">
        <f t="shared" si="18"/>
        <v>83000</v>
      </c>
    </row>
    <row r="83" spans="1:9" ht="14.25" thickBot="1" thickTop="1">
      <c r="A83" s="33" t="s">
        <v>73</v>
      </c>
      <c r="B83" s="34" t="s">
        <v>75</v>
      </c>
      <c r="C83" s="69">
        <f aca="true" t="shared" si="19" ref="C83:I83">C82+C77</f>
        <v>159124.53999999998</v>
      </c>
      <c r="D83" s="69">
        <f t="shared" si="19"/>
        <v>176771</v>
      </c>
      <c r="E83" s="69">
        <f t="shared" si="19"/>
        <v>137271.31</v>
      </c>
      <c r="F83" s="69">
        <f t="shared" si="19"/>
        <v>41667.130000000005</v>
      </c>
      <c r="G83" s="69">
        <f t="shared" si="19"/>
        <v>181421</v>
      </c>
      <c r="H83" s="69">
        <f t="shared" si="19"/>
        <v>0</v>
      </c>
      <c r="I83" s="69">
        <f t="shared" si="19"/>
        <v>181421</v>
      </c>
    </row>
    <row r="84" spans="1:9" ht="13.5" thickTop="1">
      <c r="A84" s="6"/>
      <c r="B84" s="7"/>
      <c r="C84" s="9"/>
      <c r="D84" s="8"/>
      <c r="E84" s="8"/>
      <c r="F84" s="8"/>
      <c r="G84" s="8"/>
      <c r="H84" s="8"/>
      <c r="I84" s="8"/>
    </row>
    <row r="85" spans="1:9" ht="13.5" thickBot="1">
      <c r="A85" s="121"/>
      <c r="B85" s="122"/>
      <c r="C85" s="56">
        <v>0</v>
      </c>
      <c r="D85" s="56">
        <v>0</v>
      </c>
      <c r="E85" s="56"/>
      <c r="F85" s="56"/>
      <c r="G85" s="56"/>
      <c r="H85" s="56"/>
      <c r="I85" s="56"/>
    </row>
    <row r="86" spans="1:9" ht="13.5" thickTop="1">
      <c r="A86" s="6"/>
      <c r="B86" s="57"/>
      <c r="C86" s="9"/>
      <c r="D86" s="8"/>
      <c r="E86" s="8"/>
      <c r="F86" s="8"/>
      <c r="G86" s="8"/>
      <c r="H86" s="8"/>
      <c r="I86" s="8"/>
    </row>
    <row r="87" spans="1:9" ht="13.5" thickBot="1">
      <c r="A87" s="117" t="s">
        <v>100</v>
      </c>
      <c r="B87" s="118"/>
      <c r="C87" s="58">
        <f aca="true" t="shared" si="20" ref="C87:I87">C59+C71+C83+C85</f>
        <v>2157514.9699999997</v>
      </c>
      <c r="D87" s="58">
        <f t="shared" si="20"/>
        <v>2153993</v>
      </c>
      <c r="E87" s="58">
        <f t="shared" si="20"/>
        <v>1622482.96</v>
      </c>
      <c r="F87" s="58">
        <f t="shared" si="20"/>
        <v>533677.48</v>
      </c>
      <c r="G87" s="58">
        <f t="shared" si="20"/>
        <v>2307323</v>
      </c>
      <c r="H87" s="58">
        <f t="shared" si="20"/>
        <v>119952</v>
      </c>
      <c r="I87" s="58">
        <f t="shared" si="20"/>
        <v>2427275</v>
      </c>
    </row>
    <row r="88" spans="1:7" ht="12.75">
      <c r="A88" s="59"/>
      <c r="B88" s="7"/>
      <c r="C88" s="60"/>
      <c r="D88" s="60"/>
      <c r="G88" s="60"/>
    </row>
    <row r="89" spans="1:7" ht="12.75">
      <c r="A89" s="59"/>
      <c r="B89" s="70" t="s">
        <v>211</v>
      </c>
      <c r="C89" s="60"/>
      <c r="D89" s="60"/>
      <c r="G89" s="71"/>
    </row>
  </sheetData>
  <mergeCells count="11">
    <mergeCell ref="A1:G2"/>
    <mergeCell ref="A3:B5"/>
    <mergeCell ref="C3:C4"/>
    <mergeCell ref="D3:D4"/>
    <mergeCell ref="E3:E4"/>
    <mergeCell ref="F3:F4"/>
    <mergeCell ref="G3:G4"/>
    <mergeCell ref="H3:H4"/>
    <mergeCell ref="I3:I4"/>
    <mergeCell ref="A85:B85"/>
    <mergeCell ref="A87:B87"/>
  </mergeCells>
  <printOptions gridLines="1"/>
  <pageMargins left="0.39" right="0.37" top="1" bottom="1" header="0.5" footer="0.5"/>
  <pageSetup horizontalDpi="150" verticalDpi="15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A1" sqref="A1:I2"/>
    </sheetView>
  </sheetViews>
  <sheetFormatPr defaultColWidth="9.140625" defaultRowHeight="12.75"/>
  <cols>
    <col min="1" max="1" width="5.57421875" style="0" bestFit="1" customWidth="1"/>
    <col min="2" max="2" width="36.00390625" style="0" bestFit="1" customWidth="1"/>
    <col min="3" max="9" width="13.7109375" style="0" customWidth="1"/>
  </cols>
  <sheetData>
    <row r="1" spans="1:9" ht="12.75">
      <c r="A1" s="102" t="s">
        <v>222</v>
      </c>
      <c r="B1" s="103"/>
      <c r="C1" s="103"/>
      <c r="D1" s="103"/>
      <c r="E1" s="103"/>
      <c r="F1" s="103"/>
      <c r="G1" s="103"/>
      <c r="H1" s="103"/>
      <c r="I1" s="104"/>
    </row>
    <row r="2" spans="1:9" ht="13.5" thickBot="1">
      <c r="A2" s="105"/>
      <c r="B2" s="106"/>
      <c r="C2" s="106"/>
      <c r="D2" s="106"/>
      <c r="E2" s="106"/>
      <c r="F2" s="106"/>
      <c r="G2" s="106"/>
      <c r="H2" s="106"/>
      <c r="I2" s="107"/>
    </row>
    <row r="3" spans="1:9" ht="12.75">
      <c r="A3" s="109" t="s">
        <v>157</v>
      </c>
      <c r="B3" s="110"/>
      <c r="C3" s="119" t="s">
        <v>0</v>
      </c>
      <c r="D3" s="115"/>
      <c r="E3" s="119" t="s">
        <v>1</v>
      </c>
      <c r="F3" s="115"/>
      <c r="G3" s="115"/>
      <c r="H3" s="119" t="s">
        <v>2</v>
      </c>
      <c r="I3" s="115"/>
    </row>
    <row r="4" spans="1:9" ht="12.75">
      <c r="A4" s="111"/>
      <c r="B4" s="112"/>
      <c r="C4" s="120"/>
      <c r="D4" s="116"/>
      <c r="E4" s="120"/>
      <c r="F4" s="116"/>
      <c r="G4" s="116"/>
      <c r="H4" s="120"/>
      <c r="I4" s="116"/>
    </row>
    <row r="5" spans="1:9" ht="13.5" thickBot="1">
      <c r="A5" s="111"/>
      <c r="B5" s="112"/>
      <c r="C5" s="2" t="s">
        <v>3</v>
      </c>
      <c r="D5" s="2" t="s">
        <v>139</v>
      </c>
      <c r="E5" s="2" t="s">
        <v>3</v>
      </c>
      <c r="F5" s="2" t="s">
        <v>213</v>
      </c>
      <c r="G5" s="2" t="s">
        <v>160</v>
      </c>
      <c r="H5" s="2" t="s">
        <v>215</v>
      </c>
      <c r="I5" s="2" t="s">
        <v>160</v>
      </c>
    </row>
    <row r="6" spans="1:9" ht="13.5" thickBot="1">
      <c r="A6" s="3" t="s">
        <v>161</v>
      </c>
      <c r="B6" s="4" t="s">
        <v>162</v>
      </c>
      <c r="C6" s="5"/>
      <c r="D6" s="5"/>
      <c r="E6" s="5"/>
      <c r="F6" s="5"/>
      <c r="G6" s="5"/>
      <c r="H6" s="5"/>
      <c r="I6" s="5"/>
    </row>
    <row r="7" spans="1:9" ht="12.75">
      <c r="A7" s="6"/>
      <c r="B7" s="7" t="s">
        <v>47</v>
      </c>
      <c r="C7" s="9">
        <v>91684.16</v>
      </c>
      <c r="D7" s="8">
        <v>91684</v>
      </c>
      <c r="E7" s="8">
        <v>78646.54</v>
      </c>
      <c r="F7" s="8">
        <f>SUM(D7-E7)</f>
        <v>13037.460000000006</v>
      </c>
      <c r="G7" s="8">
        <v>96360</v>
      </c>
      <c r="H7" s="8">
        <v>-96360</v>
      </c>
      <c r="I7" s="8">
        <f>SUM(G7:H7)</f>
        <v>0</v>
      </c>
    </row>
    <row r="8" spans="1:9" ht="12.75">
      <c r="A8" s="6"/>
      <c r="B8" s="7" t="s">
        <v>163</v>
      </c>
      <c r="C8" s="9">
        <v>40028.07</v>
      </c>
      <c r="D8" s="8">
        <v>38542</v>
      </c>
      <c r="E8" s="8">
        <f>27213.2+300</f>
        <v>27513.2</v>
      </c>
      <c r="F8" s="8">
        <f>SUM(D8-E8)</f>
        <v>11028.8</v>
      </c>
      <c r="G8" s="8">
        <v>38542</v>
      </c>
      <c r="H8" s="8">
        <v>-38542</v>
      </c>
      <c r="I8" s="8">
        <f>SUM(G8:H8)</f>
        <v>0</v>
      </c>
    </row>
    <row r="9" spans="1:9" ht="12.75">
      <c r="A9" s="6"/>
      <c r="B9" s="7" t="s">
        <v>164</v>
      </c>
      <c r="C9" s="9">
        <v>1708.13</v>
      </c>
      <c r="D9" s="8">
        <v>600</v>
      </c>
      <c r="E9" s="8">
        <v>801</v>
      </c>
      <c r="F9" s="8">
        <f>SUM(D9-E9)</f>
        <v>-201</v>
      </c>
      <c r="G9" s="8">
        <v>1200</v>
      </c>
      <c r="H9" s="8">
        <v>-1200</v>
      </c>
      <c r="I9" s="8">
        <f>SUM(G9:H9)</f>
        <v>0</v>
      </c>
    </row>
    <row r="10" spans="1:9" ht="12.75">
      <c r="A10" s="6"/>
      <c r="B10" s="7" t="s">
        <v>165</v>
      </c>
      <c r="C10" s="9">
        <v>939.37</v>
      </c>
      <c r="D10" s="8">
        <v>1600</v>
      </c>
      <c r="E10" s="8">
        <v>1884.4</v>
      </c>
      <c r="F10" s="8">
        <f>SUM(D10-E10)</f>
        <v>-284.4000000000001</v>
      </c>
      <c r="G10" s="8">
        <v>0</v>
      </c>
      <c r="H10" s="8"/>
      <c r="I10" s="8">
        <f>SUM(G10:H10)</f>
        <v>0</v>
      </c>
    </row>
    <row r="11" spans="1:9" ht="12.75">
      <c r="A11" s="6"/>
      <c r="B11" s="7" t="s">
        <v>167</v>
      </c>
      <c r="C11" s="9">
        <v>3945.57</v>
      </c>
      <c r="D11" s="8">
        <v>5000</v>
      </c>
      <c r="E11" s="8">
        <v>3061.3</v>
      </c>
      <c r="F11" s="8">
        <f>SUM(D11-E11)</f>
        <v>1938.6999999999998</v>
      </c>
      <c r="G11" s="8">
        <v>5000</v>
      </c>
      <c r="H11" s="8">
        <v>-5000</v>
      </c>
      <c r="I11" s="8">
        <f>SUM(G11:H11)</f>
        <v>0</v>
      </c>
    </row>
    <row r="12" spans="1:9" ht="13.5" thickBot="1">
      <c r="A12" s="18"/>
      <c r="B12" s="11" t="s">
        <v>9</v>
      </c>
      <c r="C12" s="19">
        <f aca="true" t="shared" si="0" ref="C12:I12">SUM(C7:C11)</f>
        <v>138305.30000000002</v>
      </c>
      <c r="D12" s="19">
        <f t="shared" si="0"/>
        <v>137426</v>
      </c>
      <c r="E12" s="19">
        <f t="shared" si="0"/>
        <v>111906.43999999999</v>
      </c>
      <c r="F12" s="19">
        <f t="shared" si="0"/>
        <v>25519.560000000005</v>
      </c>
      <c r="G12" s="19">
        <f t="shared" si="0"/>
        <v>141102</v>
      </c>
      <c r="H12" s="72">
        <f t="shared" si="0"/>
        <v>-141102</v>
      </c>
      <c r="I12" s="72">
        <f t="shared" si="0"/>
        <v>0</v>
      </c>
    </row>
    <row r="13" spans="1:9" ht="13.5" thickBot="1">
      <c r="A13" s="3" t="s">
        <v>168</v>
      </c>
      <c r="B13" s="4" t="s">
        <v>169</v>
      </c>
      <c r="C13" s="5"/>
      <c r="D13" s="5"/>
      <c r="E13" s="5"/>
      <c r="F13" s="5"/>
      <c r="G13" s="5"/>
      <c r="H13" s="5"/>
      <c r="I13" s="5"/>
    </row>
    <row r="14" spans="1:9" ht="12.75">
      <c r="A14" s="6"/>
      <c r="B14" s="13" t="s">
        <v>170</v>
      </c>
      <c r="C14" s="15">
        <v>40012.92</v>
      </c>
      <c r="D14" s="14">
        <v>75112</v>
      </c>
      <c r="E14" s="14">
        <v>32188.8</v>
      </c>
      <c r="F14" s="8">
        <f aca="true" t="shared" si="1" ref="F14:F19">SUM(D14-E14)</f>
        <v>42923.2</v>
      </c>
      <c r="G14" s="14">
        <v>48747</v>
      </c>
      <c r="H14" s="14">
        <v>-48747</v>
      </c>
      <c r="I14" s="8">
        <f aca="true" t="shared" si="2" ref="I14:I19">SUM(G14:H14)</f>
        <v>0</v>
      </c>
    </row>
    <row r="15" spans="1:9" ht="12.75">
      <c r="A15" s="6"/>
      <c r="B15" s="13" t="s">
        <v>171</v>
      </c>
      <c r="C15" s="15">
        <v>547204.68</v>
      </c>
      <c r="D15" s="14">
        <v>618143</v>
      </c>
      <c r="E15" s="14">
        <v>444968.37</v>
      </c>
      <c r="F15" s="8">
        <f t="shared" si="1"/>
        <v>173174.63</v>
      </c>
      <c r="G15" s="14">
        <v>630340</v>
      </c>
      <c r="H15" s="14">
        <v>-630340</v>
      </c>
      <c r="I15" s="8">
        <f t="shared" si="2"/>
        <v>0</v>
      </c>
    </row>
    <row r="16" spans="1:9" ht="12.75">
      <c r="A16" s="6"/>
      <c r="B16" s="13" t="s">
        <v>172</v>
      </c>
      <c r="C16" s="15">
        <v>70131.09</v>
      </c>
      <c r="D16" s="14">
        <v>64905</v>
      </c>
      <c r="E16" s="14">
        <v>70896.67</v>
      </c>
      <c r="F16" s="8">
        <f t="shared" si="1"/>
        <v>-5991.669999999998</v>
      </c>
      <c r="G16" s="14">
        <v>99958</v>
      </c>
      <c r="H16" s="14">
        <v>-99958</v>
      </c>
      <c r="I16" s="8">
        <f t="shared" si="2"/>
        <v>0</v>
      </c>
    </row>
    <row r="17" spans="1:9" ht="12.75">
      <c r="A17" s="6"/>
      <c r="B17" s="7" t="s">
        <v>173</v>
      </c>
      <c r="C17" s="9">
        <v>33925.91</v>
      </c>
      <c r="D17" s="8">
        <v>34281</v>
      </c>
      <c r="E17" s="8">
        <v>27303.04</v>
      </c>
      <c r="F17" s="8">
        <f t="shared" si="1"/>
        <v>6977.959999999999</v>
      </c>
      <c r="G17" s="8">
        <v>36884</v>
      </c>
      <c r="H17" s="8">
        <v>-36884</v>
      </c>
      <c r="I17" s="8">
        <f t="shared" si="2"/>
        <v>0</v>
      </c>
    </row>
    <row r="18" spans="1:9" ht="12.75">
      <c r="A18" s="6"/>
      <c r="B18" s="7" t="s">
        <v>174</v>
      </c>
      <c r="C18" s="9">
        <v>4640</v>
      </c>
      <c r="D18" s="17">
        <v>2400</v>
      </c>
      <c r="E18" s="17">
        <v>2400</v>
      </c>
      <c r="F18" s="8">
        <f t="shared" si="1"/>
        <v>0</v>
      </c>
      <c r="G18" s="17">
        <v>0</v>
      </c>
      <c r="H18" s="17"/>
      <c r="I18" s="8">
        <f t="shared" si="2"/>
        <v>0</v>
      </c>
    </row>
    <row r="19" spans="1:9" ht="12.75">
      <c r="A19" s="6"/>
      <c r="B19" s="7" t="s">
        <v>175</v>
      </c>
      <c r="C19" s="9">
        <v>0</v>
      </c>
      <c r="D19" s="17">
        <v>0</v>
      </c>
      <c r="E19" s="17"/>
      <c r="F19" s="8">
        <f t="shared" si="1"/>
        <v>0</v>
      </c>
      <c r="G19" s="17">
        <v>0</v>
      </c>
      <c r="H19" s="17"/>
      <c r="I19" s="8">
        <f t="shared" si="2"/>
        <v>0</v>
      </c>
    </row>
    <row r="20" spans="1:9" ht="13.5" thickBot="1">
      <c r="A20" s="18"/>
      <c r="B20" s="11" t="s">
        <v>9</v>
      </c>
      <c r="C20" s="19">
        <f aca="true" t="shared" si="3" ref="C20:I20">SUM(C14:C19)</f>
        <v>695914.6000000001</v>
      </c>
      <c r="D20" s="19">
        <f t="shared" si="3"/>
        <v>794841</v>
      </c>
      <c r="E20" s="19">
        <f t="shared" si="3"/>
        <v>577756.88</v>
      </c>
      <c r="F20" s="19">
        <f t="shared" si="3"/>
        <v>217084.12000000002</v>
      </c>
      <c r="G20" s="19">
        <f t="shared" si="3"/>
        <v>815929</v>
      </c>
      <c r="H20" s="19">
        <f t="shared" si="3"/>
        <v>-815929</v>
      </c>
      <c r="I20" s="19">
        <f t="shared" si="3"/>
        <v>0</v>
      </c>
    </row>
    <row r="21" spans="1:9" ht="13.5" thickBot="1">
      <c r="A21" s="3" t="s">
        <v>38</v>
      </c>
      <c r="B21" s="65" t="s">
        <v>176</v>
      </c>
      <c r="C21" s="5"/>
      <c r="D21" s="5"/>
      <c r="E21" s="5"/>
      <c r="F21" s="5"/>
      <c r="G21" s="5"/>
      <c r="H21" s="5"/>
      <c r="I21" s="5"/>
    </row>
    <row r="22" spans="1:9" ht="12.75">
      <c r="A22" s="6"/>
      <c r="B22" s="13" t="s">
        <v>177</v>
      </c>
      <c r="C22" s="15">
        <v>94947.05</v>
      </c>
      <c r="D22" s="14">
        <v>157457</v>
      </c>
      <c r="E22" s="14">
        <v>122629.51</v>
      </c>
      <c r="F22" s="8">
        <f>SUM(D22-E22)</f>
        <v>34827.490000000005</v>
      </c>
      <c r="G22" s="14">
        <v>189023</v>
      </c>
      <c r="H22" s="14">
        <v>-189023</v>
      </c>
      <c r="I22" s="8">
        <f>SUM(G22:H22)</f>
        <v>0</v>
      </c>
    </row>
    <row r="23" spans="1:9" ht="12.75">
      <c r="A23" s="6"/>
      <c r="B23" s="13" t="s">
        <v>178</v>
      </c>
      <c r="C23" s="74">
        <v>0</v>
      </c>
      <c r="D23" s="14">
        <v>0</v>
      </c>
      <c r="E23" s="14"/>
      <c r="F23" s="8">
        <f>SUM(D23-E23)</f>
        <v>0</v>
      </c>
      <c r="G23" s="14">
        <v>0</v>
      </c>
      <c r="H23" s="14"/>
      <c r="I23" s="8">
        <f>SUM(G23:H23)</f>
        <v>0</v>
      </c>
    </row>
    <row r="24" spans="1:9" ht="12.75">
      <c r="A24" s="6"/>
      <c r="B24" s="13" t="s">
        <v>217</v>
      </c>
      <c r="C24" s="74">
        <v>0</v>
      </c>
      <c r="D24" s="14">
        <v>0</v>
      </c>
      <c r="E24" s="14"/>
      <c r="F24" s="8">
        <f>SUM(D24-E24)</f>
        <v>0</v>
      </c>
      <c r="G24" s="14">
        <v>13240</v>
      </c>
      <c r="H24" s="14">
        <v>-13240</v>
      </c>
      <c r="I24" s="8">
        <f>SUM(G24:H24)</f>
        <v>0</v>
      </c>
    </row>
    <row r="25" spans="1:9" ht="12.75">
      <c r="A25" s="76"/>
      <c r="B25" s="75" t="s">
        <v>180</v>
      </c>
      <c r="C25" s="77">
        <v>0</v>
      </c>
      <c r="D25" s="78">
        <v>0</v>
      </c>
      <c r="E25" s="78"/>
      <c r="F25" s="8">
        <f>SUM(D25-E25)</f>
        <v>0</v>
      </c>
      <c r="G25" s="78">
        <v>0</v>
      </c>
      <c r="H25" s="14"/>
      <c r="I25" s="8">
        <f>SUM(G25:H25)</f>
        <v>0</v>
      </c>
    </row>
    <row r="26" spans="1:9" ht="13.5" thickBot="1">
      <c r="A26" s="6"/>
      <c r="B26" s="37" t="s">
        <v>9</v>
      </c>
      <c r="C26" s="38">
        <f aca="true" t="shared" si="4" ref="C26:I26">SUM(C22:C25)</f>
        <v>94947.05</v>
      </c>
      <c r="D26" s="38">
        <f t="shared" si="4"/>
        <v>157457</v>
      </c>
      <c r="E26" s="38">
        <f t="shared" si="4"/>
        <v>122629.51</v>
      </c>
      <c r="F26" s="38">
        <f t="shared" si="4"/>
        <v>34827.490000000005</v>
      </c>
      <c r="G26" s="38">
        <f t="shared" si="4"/>
        <v>202263</v>
      </c>
      <c r="H26" s="38">
        <f t="shared" si="4"/>
        <v>-202263</v>
      </c>
      <c r="I26" s="38">
        <f t="shared" si="4"/>
        <v>0</v>
      </c>
    </row>
    <row r="27" spans="1:9" ht="13.5" thickBot="1">
      <c r="A27" s="3" t="s">
        <v>48</v>
      </c>
      <c r="B27" s="4" t="s">
        <v>181</v>
      </c>
      <c r="C27" s="5"/>
      <c r="D27" s="5"/>
      <c r="E27" s="5"/>
      <c r="F27" s="5"/>
      <c r="G27" s="5"/>
      <c r="H27" s="5"/>
      <c r="I27" s="5"/>
    </row>
    <row r="28" spans="1:9" ht="12.75">
      <c r="A28" s="6"/>
      <c r="B28" s="13" t="s">
        <v>182</v>
      </c>
      <c r="C28" s="15">
        <v>21974.74</v>
      </c>
      <c r="D28" s="14">
        <v>30052</v>
      </c>
      <c r="E28" s="14">
        <v>10195.31</v>
      </c>
      <c r="F28" s="8">
        <f>SUM(D28-E28)</f>
        <v>19856.690000000002</v>
      </c>
      <c r="G28" s="14">
        <v>30052</v>
      </c>
      <c r="H28" s="14">
        <v>-30052</v>
      </c>
      <c r="I28" s="8">
        <f>SUM(G28:H28)</f>
        <v>0</v>
      </c>
    </row>
    <row r="29" spans="1:9" ht="13.5" thickBot="1">
      <c r="A29" s="10"/>
      <c r="B29" s="11" t="s">
        <v>9</v>
      </c>
      <c r="C29" s="19">
        <f aca="true" t="shared" si="5" ref="C29:I29">SUM(C28)</f>
        <v>21974.74</v>
      </c>
      <c r="D29" s="19">
        <f t="shared" si="5"/>
        <v>30052</v>
      </c>
      <c r="E29" s="19">
        <f t="shared" si="5"/>
        <v>10195.31</v>
      </c>
      <c r="F29" s="19">
        <f t="shared" si="5"/>
        <v>19856.690000000002</v>
      </c>
      <c r="G29" s="19">
        <f t="shared" si="5"/>
        <v>30052</v>
      </c>
      <c r="H29" s="19">
        <f t="shared" si="5"/>
        <v>-30052</v>
      </c>
      <c r="I29" s="19">
        <f t="shared" si="5"/>
        <v>0</v>
      </c>
    </row>
    <row r="30" spans="1:9" ht="13.5" thickBot="1">
      <c r="A30" s="3" t="s">
        <v>49</v>
      </c>
      <c r="B30" s="4" t="s">
        <v>183</v>
      </c>
      <c r="C30" s="5"/>
      <c r="D30" s="5"/>
      <c r="E30" s="5"/>
      <c r="F30" s="5"/>
      <c r="G30" s="5"/>
      <c r="H30" s="5"/>
      <c r="I30" s="5"/>
    </row>
    <row r="31" spans="1:9" ht="12.75">
      <c r="A31" s="6"/>
      <c r="B31" s="13" t="s">
        <v>184</v>
      </c>
      <c r="C31" s="15">
        <v>38017</v>
      </c>
      <c r="D31" s="14">
        <v>68182</v>
      </c>
      <c r="E31" s="14">
        <v>55420.59</v>
      </c>
      <c r="F31" s="8">
        <f>SUM(D31-E31)</f>
        <v>12761.410000000003</v>
      </c>
      <c r="G31" s="14">
        <v>74666</v>
      </c>
      <c r="H31" s="14">
        <v>-74666</v>
      </c>
      <c r="I31" s="8">
        <f>SUM(G31:H31)</f>
        <v>0</v>
      </c>
    </row>
    <row r="32" spans="1:9" ht="12.75">
      <c r="A32" s="6"/>
      <c r="B32" s="13" t="s">
        <v>185</v>
      </c>
      <c r="C32" s="15">
        <v>0</v>
      </c>
      <c r="D32" s="14">
        <v>0</v>
      </c>
      <c r="E32" s="14"/>
      <c r="F32" s="8">
        <f>SUM(D32-E32)</f>
        <v>0</v>
      </c>
      <c r="G32" s="14"/>
      <c r="H32" s="14"/>
      <c r="I32" s="8">
        <f>SUM(G32:H32)</f>
        <v>0</v>
      </c>
    </row>
    <row r="33" spans="1:9" ht="12.75">
      <c r="A33" s="6"/>
      <c r="B33" s="7" t="s">
        <v>218</v>
      </c>
      <c r="C33" s="9">
        <v>0</v>
      </c>
      <c r="D33" s="8">
        <v>0</v>
      </c>
      <c r="E33" s="8"/>
      <c r="F33" s="8">
        <f>SUM(D33-E33)</f>
        <v>0</v>
      </c>
      <c r="G33" s="8">
        <v>0</v>
      </c>
      <c r="H33" s="14"/>
      <c r="I33" s="8">
        <f>SUM(G33:H33)</f>
        <v>0</v>
      </c>
    </row>
    <row r="34" spans="1:9" ht="13.5" thickBot="1">
      <c r="A34" s="10"/>
      <c r="B34" s="11" t="s">
        <v>9</v>
      </c>
      <c r="C34" s="12">
        <f>SUM(C31:C33)</f>
        <v>38017</v>
      </c>
      <c r="D34" s="12">
        <f>SUM(D31:D33)</f>
        <v>68182</v>
      </c>
      <c r="E34" s="12">
        <f>SUM(E31:E33)</f>
        <v>55420.59</v>
      </c>
      <c r="F34" s="12">
        <f>SUM(F31:F33)</f>
        <v>12761.410000000003</v>
      </c>
      <c r="G34" s="12">
        <f>SUM(G31:G33)</f>
        <v>74666</v>
      </c>
      <c r="H34" s="12">
        <f>SUM(H31:H32)</f>
        <v>-74666</v>
      </c>
      <c r="I34" s="12">
        <f>SUM(I31:I32)</f>
        <v>0</v>
      </c>
    </row>
    <row r="35" spans="1:9" ht="13.5" thickBot="1">
      <c r="A35" s="3" t="s">
        <v>51</v>
      </c>
      <c r="B35" s="4" t="s">
        <v>186</v>
      </c>
      <c r="C35" s="5"/>
      <c r="D35" s="5"/>
      <c r="E35" s="5"/>
      <c r="F35" s="5"/>
      <c r="G35" s="5"/>
      <c r="H35" s="5"/>
      <c r="I35" s="5"/>
    </row>
    <row r="36" spans="1:9" ht="12.75">
      <c r="A36" s="6"/>
      <c r="B36" s="7" t="s">
        <v>187</v>
      </c>
      <c r="C36" s="9">
        <v>690</v>
      </c>
      <c r="D36" s="8">
        <v>2600</v>
      </c>
      <c r="E36" s="8">
        <v>2600</v>
      </c>
      <c r="F36" s="8">
        <f>SUM(D36-E36)</f>
        <v>0</v>
      </c>
      <c r="G36" s="8">
        <v>0</v>
      </c>
      <c r="H36" s="8"/>
      <c r="I36" s="8">
        <f>SUM(G36:H36)</f>
        <v>0</v>
      </c>
    </row>
    <row r="37" spans="1:9" ht="12.75">
      <c r="A37" s="6"/>
      <c r="B37" s="7" t="s">
        <v>166</v>
      </c>
      <c r="C37" s="9">
        <v>90</v>
      </c>
      <c r="D37" s="8"/>
      <c r="E37" s="8">
        <v>100</v>
      </c>
      <c r="F37" s="8">
        <f>SUM(D37-E37)</f>
        <v>-100</v>
      </c>
      <c r="G37" s="8">
        <v>0</v>
      </c>
      <c r="H37" s="8"/>
      <c r="I37" s="8">
        <f>SUM(G37:H37)</f>
        <v>0</v>
      </c>
    </row>
    <row r="38" spans="1:9" ht="12.75">
      <c r="A38" s="6"/>
      <c r="B38" s="7" t="s">
        <v>188</v>
      </c>
      <c r="C38" s="9">
        <f>549+1951.52</f>
        <v>2500.52</v>
      </c>
      <c r="D38" s="8">
        <v>500</v>
      </c>
      <c r="E38" s="8">
        <v>470</v>
      </c>
      <c r="F38" s="8">
        <f>SUM(D38-E38)</f>
        <v>30</v>
      </c>
      <c r="G38" s="8">
        <v>2000</v>
      </c>
      <c r="H38" s="8">
        <v>-2000</v>
      </c>
      <c r="I38" s="8">
        <f>SUM(G38:H38)</f>
        <v>0</v>
      </c>
    </row>
    <row r="39" spans="1:9" ht="13.5" thickBot="1">
      <c r="A39" s="23"/>
      <c r="B39" s="24" t="s">
        <v>9</v>
      </c>
      <c r="C39" s="41">
        <f aca="true" t="shared" si="6" ref="C39:I39">SUM(C36:C38)</f>
        <v>3280.52</v>
      </c>
      <c r="D39" s="41">
        <f t="shared" si="6"/>
        <v>3100</v>
      </c>
      <c r="E39" s="41">
        <f t="shared" si="6"/>
        <v>3170</v>
      </c>
      <c r="F39" s="41">
        <f t="shared" si="6"/>
        <v>-70</v>
      </c>
      <c r="G39" s="41">
        <f t="shared" si="6"/>
        <v>2000</v>
      </c>
      <c r="H39" s="41">
        <f t="shared" si="6"/>
        <v>-2000</v>
      </c>
      <c r="I39" s="41">
        <f t="shared" si="6"/>
        <v>0</v>
      </c>
    </row>
    <row r="40" spans="1:9" ht="13.5" thickBot="1">
      <c r="A40" s="43" t="s">
        <v>54</v>
      </c>
      <c r="B40" s="4" t="s">
        <v>55</v>
      </c>
      <c r="C40" s="5"/>
      <c r="D40" s="5"/>
      <c r="E40" s="5"/>
      <c r="F40" s="5"/>
      <c r="G40" s="5"/>
      <c r="H40" s="5"/>
      <c r="I40" s="5"/>
    </row>
    <row r="41" spans="1:9" ht="12.75">
      <c r="A41" s="6"/>
      <c r="B41" s="7" t="s">
        <v>56</v>
      </c>
      <c r="C41" s="15">
        <v>14475.49</v>
      </c>
      <c r="D41" s="8">
        <v>4375</v>
      </c>
      <c r="E41" s="8">
        <v>1178.17</v>
      </c>
      <c r="F41" s="8">
        <f aca="true" t="shared" si="7" ref="F41:F47">SUM(D41-E41)</f>
        <v>3196.83</v>
      </c>
      <c r="G41" s="8">
        <v>8500</v>
      </c>
      <c r="H41" s="8">
        <v>-8500</v>
      </c>
      <c r="I41" s="8">
        <f aca="true" t="shared" si="8" ref="I41:I47">SUM(G41:H41)</f>
        <v>0</v>
      </c>
    </row>
    <row r="42" spans="1:9" ht="12.75">
      <c r="A42" s="6"/>
      <c r="B42" s="7" t="s">
        <v>189</v>
      </c>
      <c r="C42" s="15">
        <v>960.77</v>
      </c>
      <c r="D42" s="8">
        <v>1200</v>
      </c>
      <c r="E42" s="8">
        <v>249.18</v>
      </c>
      <c r="F42" s="8">
        <f t="shared" si="7"/>
        <v>950.8199999999999</v>
      </c>
      <c r="G42" s="8">
        <v>2100</v>
      </c>
      <c r="H42" s="8">
        <v>-2100</v>
      </c>
      <c r="I42" s="8">
        <f t="shared" si="8"/>
        <v>0</v>
      </c>
    </row>
    <row r="43" spans="1:9" ht="12.75">
      <c r="A43" s="6"/>
      <c r="B43" s="7" t="s">
        <v>190</v>
      </c>
      <c r="C43" s="15">
        <v>2042.91</v>
      </c>
      <c r="D43" s="8">
        <v>1398</v>
      </c>
      <c r="E43" s="8">
        <v>1597.81</v>
      </c>
      <c r="F43" s="8">
        <f t="shared" si="7"/>
        <v>-199.80999999999995</v>
      </c>
      <c r="G43" s="8">
        <v>0</v>
      </c>
      <c r="H43" s="8"/>
      <c r="I43" s="8">
        <f t="shared" si="8"/>
        <v>0</v>
      </c>
    </row>
    <row r="44" spans="1:9" ht="12.75">
      <c r="A44" s="6"/>
      <c r="B44" s="7" t="s">
        <v>191</v>
      </c>
      <c r="C44" s="9">
        <v>61251.97</v>
      </c>
      <c r="D44" s="8">
        <v>7000</v>
      </c>
      <c r="E44" s="8">
        <v>16425.17</v>
      </c>
      <c r="F44" s="8">
        <f t="shared" si="7"/>
        <v>-9425.169999999998</v>
      </c>
      <c r="G44" s="8">
        <v>6518</v>
      </c>
      <c r="H44" s="8">
        <v>-6518</v>
      </c>
      <c r="I44" s="8">
        <f t="shared" si="8"/>
        <v>0</v>
      </c>
    </row>
    <row r="45" spans="1:9" ht="12.75">
      <c r="A45" s="6"/>
      <c r="B45" s="7" t="s">
        <v>192</v>
      </c>
      <c r="C45" s="9">
        <v>0</v>
      </c>
      <c r="D45" s="8">
        <v>0</v>
      </c>
      <c r="E45" s="8"/>
      <c r="F45" s="8">
        <f t="shared" si="7"/>
        <v>0</v>
      </c>
      <c r="G45" s="8">
        <v>900</v>
      </c>
      <c r="H45" s="8">
        <v>-900</v>
      </c>
      <c r="I45" s="8">
        <f t="shared" si="8"/>
        <v>0</v>
      </c>
    </row>
    <row r="46" spans="1:9" ht="12.75">
      <c r="A46" s="6"/>
      <c r="B46" s="7" t="s">
        <v>223</v>
      </c>
      <c r="C46" s="9">
        <v>0</v>
      </c>
      <c r="D46" s="8">
        <v>100</v>
      </c>
      <c r="E46" s="8"/>
      <c r="F46" s="8">
        <f t="shared" si="7"/>
        <v>100</v>
      </c>
      <c r="G46" s="8">
        <v>103</v>
      </c>
      <c r="H46" s="8">
        <v>-103</v>
      </c>
      <c r="I46" s="8">
        <f t="shared" si="8"/>
        <v>0</v>
      </c>
    </row>
    <row r="47" spans="1:9" ht="12.75">
      <c r="A47" s="6"/>
      <c r="B47" s="7" t="s">
        <v>224</v>
      </c>
      <c r="C47" s="9">
        <v>0</v>
      </c>
      <c r="D47" s="8">
        <v>1500</v>
      </c>
      <c r="E47" s="8">
        <v>3234.09</v>
      </c>
      <c r="F47" s="8">
        <f t="shared" si="7"/>
        <v>-1734.0900000000001</v>
      </c>
      <c r="G47" s="8">
        <v>1538</v>
      </c>
      <c r="H47" s="8">
        <v>-1538</v>
      </c>
      <c r="I47" s="8">
        <f t="shared" si="8"/>
        <v>0</v>
      </c>
    </row>
    <row r="48" spans="1:9" ht="13.5" thickBot="1">
      <c r="A48" s="10"/>
      <c r="B48" s="11" t="s">
        <v>9</v>
      </c>
      <c r="C48" s="12">
        <f aca="true" t="shared" si="9" ref="C48:I48">SUM(C41:C47)</f>
        <v>78731.14</v>
      </c>
      <c r="D48" s="12">
        <f t="shared" si="9"/>
        <v>15573</v>
      </c>
      <c r="E48" s="12">
        <f t="shared" si="9"/>
        <v>22684.42</v>
      </c>
      <c r="F48" s="12">
        <f t="shared" si="9"/>
        <v>-7111.419999999998</v>
      </c>
      <c r="G48" s="12">
        <f t="shared" si="9"/>
        <v>19659</v>
      </c>
      <c r="H48" s="12">
        <f t="shared" si="9"/>
        <v>-19659</v>
      </c>
      <c r="I48" s="12">
        <f t="shared" si="9"/>
        <v>0</v>
      </c>
    </row>
    <row r="49" spans="1:9" ht="13.5" thickBot="1">
      <c r="A49" s="3" t="s">
        <v>58</v>
      </c>
      <c r="B49" s="4" t="s">
        <v>59</v>
      </c>
      <c r="C49" s="5"/>
      <c r="D49" s="5"/>
      <c r="E49" s="5"/>
      <c r="F49" s="5"/>
      <c r="G49" s="5"/>
      <c r="H49" s="5"/>
      <c r="I49" s="5"/>
    </row>
    <row r="50" spans="1:9" ht="12.75">
      <c r="A50" s="6"/>
      <c r="B50" s="7" t="s">
        <v>30</v>
      </c>
      <c r="C50" s="9">
        <v>11791.69</v>
      </c>
      <c r="D50" s="8">
        <v>7000</v>
      </c>
      <c r="E50" s="8">
        <v>4350</v>
      </c>
      <c r="F50" s="8">
        <f>SUM(D50-E50)</f>
        <v>2650</v>
      </c>
      <c r="G50" s="8">
        <v>7550</v>
      </c>
      <c r="H50" s="8">
        <v>-7550</v>
      </c>
      <c r="I50" s="8">
        <f>SUM(G50:H50)</f>
        <v>0</v>
      </c>
    </row>
    <row r="51" spans="1:9" ht="12.75">
      <c r="A51" s="6"/>
      <c r="B51" s="7" t="s">
        <v>208</v>
      </c>
      <c r="C51" s="9">
        <v>3960.66</v>
      </c>
      <c r="D51" s="8">
        <v>2000</v>
      </c>
      <c r="E51" s="8">
        <v>1527.81</v>
      </c>
      <c r="F51" s="8">
        <f>SUM(D51-E51)</f>
        <v>472.19000000000005</v>
      </c>
      <c r="G51" s="8">
        <v>4000</v>
      </c>
      <c r="H51" s="8">
        <v>-4000</v>
      </c>
      <c r="I51" s="8">
        <f>SUM(G51:H51)</f>
        <v>0</v>
      </c>
    </row>
    <row r="52" spans="1:9" ht="12.75">
      <c r="A52" s="6"/>
      <c r="B52" s="7" t="s">
        <v>312</v>
      </c>
      <c r="C52" s="9">
        <v>8170</v>
      </c>
      <c r="D52" s="8">
        <v>7000</v>
      </c>
      <c r="E52" s="8"/>
      <c r="F52" s="8">
        <f>SUM(D52-E52)</f>
        <v>7000</v>
      </c>
      <c r="G52" s="8">
        <v>7000</v>
      </c>
      <c r="H52" s="8">
        <v>-7000</v>
      </c>
      <c r="I52" s="8">
        <f>SUM(G52:H52)</f>
        <v>0</v>
      </c>
    </row>
    <row r="53" spans="1:9" ht="13.5" thickBot="1">
      <c r="A53" s="10"/>
      <c r="B53" s="11" t="s">
        <v>9</v>
      </c>
      <c r="C53" s="12">
        <f aca="true" t="shared" si="10" ref="C53:I53">SUM(C50:C52)</f>
        <v>23922.35</v>
      </c>
      <c r="D53" s="12">
        <f t="shared" si="10"/>
        <v>16000</v>
      </c>
      <c r="E53" s="12">
        <f t="shared" si="10"/>
        <v>5877.8099999999995</v>
      </c>
      <c r="F53" s="12">
        <f t="shared" si="10"/>
        <v>10122.19</v>
      </c>
      <c r="G53" s="12">
        <f t="shared" si="10"/>
        <v>18550</v>
      </c>
      <c r="H53" s="12">
        <f t="shared" si="10"/>
        <v>-18550</v>
      </c>
      <c r="I53" s="12">
        <f t="shared" si="10"/>
        <v>0</v>
      </c>
    </row>
    <row r="54" spans="1:9" ht="13.5" thickBot="1">
      <c r="A54" s="3" t="s">
        <v>60</v>
      </c>
      <c r="B54" s="4" t="s">
        <v>146</v>
      </c>
      <c r="C54" s="5"/>
      <c r="D54" s="5"/>
      <c r="E54" s="5"/>
      <c r="F54" s="5"/>
      <c r="G54" s="5"/>
      <c r="H54" s="5"/>
      <c r="I54" s="5"/>
    </row>
    <row r="55" spans="1:9" ht="12.75">
      <c r="A55" s="6"/>
      <c r="B55" s="7" t="s">
        <v>12</v>
      </c>
      <c r="C55" s="9">
        <v>26162.64</v>
      </c>
      <c r="D55" s="8">
        <v>39289</v>
      </c>
      <c r="E55" s="8">
        <v>28315.72</v>
      </c>
      <c r="F55" s="8">
        <f>SUM(D55-E55)</f>
        <v>10973.279999999999</v>
      </c>
      <c r="G55" s="8">
        <v>39948</v>
      </c>
      <c r="H55" s="8">
        <v>-39948</v>
      </c>
      <c r="I55" s="8">
        <f>SUM(G55:H55)</f>
        <v>0</v>
      </c>
    </row>
    <row r="56" spans="1:9" ht="12.75">
      <c r="A56" s="6"/>
      <c r="B56" s="7" t="s">
        <v>195</v>
      </c>
      <c r="C56" s="9">
        <v>105.93</v>
      </c>
      <c r="D56" s="8">
        <v>1700</v>
      </c>
      <c r="E56" s="8"/>
      <c r="F56" s="8">
        <f>SUM(D56-E56)</f>
        <v>1700</v>
      </c>
      <c r="G56" s="8"/>
      <c r="H56" s="8"/>
      <c r="I56" s="8">
        <f>SUM(G56:H56)</f>
        <v>0</v>
      </c>
    </row>
    <row r="57" spans="1:9" ht="13.5" thickBot="1">
      <c r="A57" s="10"/>
      <c r="B57" s="11" t="s">
        <v>9</v>
      </c>
      <c r="C57" s="12">
        <f>SUM(C55:C56)</f>
        <v>26268.57</v>
      </c>
      <c r="D57" s="12">
        <f>SUM(D55:D56)</f>
        <v>40989</v>
      </c>
      <c r="E57" s="12">
        <f>SUM(E55:E56)</f>
        <v>28315.72</v>
      </c>
      <c r="F57" s="8">
        <f>SUM(D57-E57)</f>
        <v>12673.279999999999</v>
      </c>
      <c r="G57" s="12">
        <f>SUM(G55:G56)</f>
        <v>39948</v>
      </c>
      <c r="H57" s="12">
        <f>SUM(H55:H56)</f>
        <v>-39948</v>
      </c>
      <c r="I57" s="12">
        <f>SUM(I55:I56)</f>
        <v>0</v>
      </c>
    </row>
    <row r="58" spans="1:9" ht="14.25" thickBot="1" thickTop="1">
      <c r="A58" s="33" t="s">
        <v>64</v>
      </c>
      <c r="B58" s="34" t="s">
        <v>65</v>
      </c>
      <c r="C58" s="48">
        <f aca="true" t="shared" si="11" ref="C58:I58">C57+C53+C48+C39+C34+C29+C26+C20+C12</f>
        <v>1121361.27</v>
      </c>
      <c r="D58" s="48">
        <f t="shared" si="11"/>
        <v>1263620</v>
      </c>
      <c r="E58" s="48">
        <f t="shared" si="11"/>
        <v>937956.6799999999</v>
      </c>
      <c r="F58" s="48">
        <f t="shared" si="11"/>
        <v>325663.32</v>
      </c>
      <c r="G58" s="48">
        <f t="shared" si="11"/>
        <v>1344169</v>
      </c>
      <c r="H58" s="48">
        <f t="shared" si="11"/>
        <v>-1344169</v>
      </c>
      <c r="I58" s="48">
        <f t="shared" si="11"/>
        <v>0</v>
      </c>
    </row>
    <row r="59" spans="1:9" ht="14.25" thickBot="1" thickTop="1">
      <c r="A59" s="36"/>
      <c r="B59" s="37"/>
      <c r="C59" s="39"/>
      <c r="D59" s="38"/>
      <c r="E59" s="38"/>
      <c r="F59" s="38"/>
      <c r="G59" s="38"/>
      <c r="H59" s="38"/>
      <c r="I59" s="38"/>
    </row>
    <row r="60" spans="1:9" ht="13.5" thickBot="1">
      <c r="A60" s="3" t="s">
        <v>66</v>
      </c>
      <c r="B60" s="4" t="s">
        <v>67</v>
      </c>
      <c r="C60" s="5"/>
      <c r="D60" s="5"/>
      <c r="E60" s="5"/>
      <c r="F60" s="5"/>
      <c r="G60" s="5"/>
      <c r="H60" s="5"/>
      <c r="I60" s="5"/>
    </row>
    <row r="61" spans="1:9" ht="12.75">
      <c r="A61" s="6"/>
      <c r="B61" s="7" t="s">
        <v>196</v>
      </c>
      <c r="C61" s="9">
        <v>29545.36</v>
      </c>
      <c r="D61" s="8">
        <v>43423</v>
      </c>
      <c r="E61" s="8">
        <v>33343.28</v>
      </c>
      <c r="F61" s="8">
        <f>SUM(D61-E61)</f>
        <v>10079.720000000001</v>
      </c>
      <c r="G61" s="8">
        <v>45187</v>
      </c>
      <c r="H61" s="8">
        <v>-45187</v>
      </c>
      <c r="I61" s="8">
        <f>SUM(G61:H61)</f>
        <v>0</v>
      </c>
    </row>
    <row r="62" spans="1:9" ht="12.75">
      <c r="A62" s="6"/>
      <c r="B62" s="7" t="s">
        <v>197</v>
      </c>
      <c r="C62" s="9">
        <v>236.81</v>
      </c>
      <c r="D62" s="8">
        <v>0</v>
      </c>
      <c r="E62" s="8">
        <v>409.42</v>
      </c>
      <c r="F62" s="8">
        <f>SUM(D62-E62)</f>
        <v>-409.42</v>
      </c>
      <c r="G62" s="8">
        <v>268</v>
      </c>
      <c r="H62" s="8">
        <v>-268</v>
      </c>
      <c r="I62" s="8">
        <f>SUM(G62:H62)</f>
        <v>0</v>
      </c>
    </row>
    <row r="63" spans="1:9" ht="12.75">
      <c r="A63" s="6"/>
      <c r="B63" s="7" t="s">
        <v>198</v>
      </c>
      <c r="C63" s="9">
        <v>42312.03</v>
      </c>
      <c r="D63" s="8">
        <v>61494</v>
      </c>
      <c r="E63" s="8">
        <v>34054.32</v>
      </c>
      <c r="F63" s="8">
        <f>SUM(D63-E63)</f>
        <v>27439.68</v>
      </c>
      <c r="G63" s="8">
        <v>62900</v>
      </c>
      <c r="H63" s="8">
        <v>-62900</v>
      </c>
      <c r="I63" s="8">
        <f>SUM(G63:H63)</f>
        <v>0</v>
      </c>
    </row>
    <row r="64" spans="1:9" ht="12.75">
      <c r="A64" s="6"/>
      <c r="B64" s="7" t="s">
        <v>195</v>
      </c>
      <c r="C64" s="9">
        <v>2333.7</v>
      </c>
      <c r="D64" s="8">
        <v>437.5</v>
      </c>
      <c r="E64" s="8"/>
      <c r="F64" s="8">
        <f>SUM(D64-E64)</f>
        <v>437.5</v>
      </c>
      <c r="G64" s="8">
        <v>0</v>
      </c>
      <c r="H64" s="8"/>
      <c r="I64" s="8">
        <f>SUM(G64:H64)</f>
        <v>0</v>
      </c>
    </row>
    <row r="65" spans="1:9" ht="13.5" thickBot="1">
      <c r="A65" s="10"/>
      <c r="B65" s="11" t="s">
        <v>9</v>
      </c>
      <c r="C65" s="12">
        <f aca="true" t="shared" si="12" ref="C65:I65">SUM(C61:C64)</f>
        <v>74427.9</v>
      </c>
      <c r="D65" s="12">
        <f t="shared" si="12"/>
        <v>105354.5</v>
      </c>
      <c r="E65" s="12">
        <f t="shared" si="12"/>
        <v>67807.01999999999</v>
      </c>
      <c r="F65" s="12">
        <f t="shared" si="12"/>
        <v>37547.48</v>
      </c>
      <c r="G65" s="12">
        <f t="shared" si="12"/>
        <v>108355</v>
      </c>
      <c r="H65" s="12">
        <f t="shared" si="12"/>
        <v>-108355</v>
      </c>
      <c r="I65" s="12">
        <f t="shared" si="12"/>
        <v>0</v>
      </c>
    </row>
    <row r="66" spans="1:9" ht="13.5" thickBot="1">
      <c r="A66" s="3" t="s">
        <v>199</v>
      </c>
      <c r="B66" s="4" t="s">
        <v>200</v>
      </c>
      <c r="C66" s="5"/>
      <c r="D66" s="5"/>
      <c r="E66" s="5"/>
      <c r="F66" s="5"/>
      <c r="G66" s="5"/>
      <c r="H66" s="5"/>
      <c r="I66" s="5"/>
    </row>
    <row r="67" spans="1:9" ht="12.75">
      <c r="A67" s="6"/>
      <c r="B67" s="7" t="s">
        <v>201</v>
      </c>
      <c r="C67" s="9">
        <v>2654.25</v>
      </c>
      <c r="D67" s="8">
        <v>500</v>
      </c>
      <c r="E67" s="8">
        <v>19.5</v>
      </c>
      <c r="F67" s="8">
        <f>SUM(D67-E67)</f>
        <v>480.5</v>
      </c>
      <c r="G67" s="8">
        <v>0</v>
      </c>
      <c r="H67" s="8"/>
      <c r="I67" s="8">
        <f>SUM(G67:H67)</f>
        <v>0</v>
      </c>
    </row>
    <row r="68" spans="1:9" ht="12.75">
      <c r="A68" s="6"/>
      <c r="B68" s="7" t="s">
        <v>202</v>
      </c>
      <c r="C68" s="42">
        <v>0</v>
      </c>
      <c r="D68" s="8">
        <v>200</v>
      </c>
      <c r="E68" s="8">
        <v>90</v>
      </c>
      <c r="F68" s="8">
        <f>SUM(D68-E68)</f>
        <v>110</v>
      </c>
      <c r="G68" s="8">
        <v>0</v>
      </c>
      <c r="H68" s="8"/>
      <c r="I68" s="8">
        <f>SUM(G68:H68)</f>
        <v>0</v>
      </c>
    </row>
    <row r="69" spans="1:9" ht="13.5" thickBot="1">
      <c r="A69" s="10"/>
      <c r="B69" s="11" t="s">
        <v>9</v>
      </c>
      <c r="C69" s="12">
        <f>SUM(C67:C68)</f>
        <v>2654.25</v>
      </c>
      <c r="D69" s="12">
        <f>SUM(D67:D68)</f>
        <v>700</v>
      </c>
      <c r="E69" s="12">
        <f>SUM(E67:E68)</f>
        <v>109.5</v>
      </c>
      <c r="F69" s="12">
        <f>SUM(F67:F68)</f>
        <v>590.5</v>
      </c>
      <c r="G69" s="12">
        <f>SUM(G67:G67)</f>
        <v>0</v>
      </c>
      <c r="H69" s="12">
        <f>SUM(H67:H68)</f>
        <v>0</v>
      </c>
      <c r="I69" s="12">
        <f>SUM(I67:I68)</f>
        <v>0</v>
      </c>
    </row>
    <row r="70" spans="1:9" ht="14.25" thickBot="1" thickTop="1">
      <c r="A70" s="66" t="s">
        <v>71</v>
      </c>
      <c r="B70" s="67" t="s">
        <v>72</v>
      </c>
      <c r="C70" s="68">
        <f aca="true" t="shared" si="13" ref="C70:I70">C65+C69</f>
        <v>77082.15</v>
      </c>
      <c r="D70" s="68">
        <f t="shared" si="13"/>
        <v>106054.5</v>
      </c>
      <c r="E70" s="68">
        <f t="shared" si="13"/>
        <v>67916.51999999999</v>
      </c>
      <c r="F70" s="68">
        <f t="shared" si="13"/>
        <v>38137.98</v>
      </c>
      <c r="G70" s="68">
        <f t="shared" si="13"/>
        <v>108355</v>
      </c>
      <c r="H70" s="68">
        <f t="shared" si="13"/>
        <v>-108355</v>
      </c>
      <c r="I70" s="68">
        <f t="shared" si="13"/>
        <v>0</v>
      </c>
    </row>
    <row r="71" spans="1:9" ht="13.5" thickBot="1">
      <c r="A71" s="43" t="s">
        <v>73</v>
      </c>
      <c r="B71" s="52" t="s">
        <v>203</v>
      </c>
      <c r="C71" s="5"/>
      <c r="D71" s="5"/>
      <c r="E71" s="5"/>
      <c r="F71" s="5"/>
      <c r="G71" s="5"/>
      <c r="H71" s="5"/>
      <c r="I71" s="5"/>
    </row>
    <row r="72" spans="1:9" ht="12.75">
      <c r="A72" s="6"/>
      <c r="B72" s="7" t="s">
        <v>7</v>
      </c>
      <c r="C72" s="9">
        <v>75988.84</v>
      </c>
      <c r="D72" s="8">
        <v>107438</v>
      </c>
      <c r="E72" s="8">
        <f>32590.3+34377.13</f>
        <v>66967.43</v>
      </c>
      <c r="F72" s="8">
        <f aca="true" t="shared" si="14" ref="F72:F79">SUM(D72-E72)</f>
        <v>40470.57000000001</v>
      </c>
      <c r="G72" s="8">
        <v>68451</v>
      </c>
      <c r="H72" s="8">
        <v>-68451</v>
      </c>
      <c r="I72" s="8">
        <f aca="true" t="shared" si="15" ref="I72:I79">SUM(G72:H72)</f>
        <v>0</v>
      </c>
    </row>
    <row r="73" spans="1:9" ht="12.75">
      <c r="A73" s="6"/>
      <c r="B73" s="7" t="s">
        <v>221</v>
      </c>
      <c r="C73" s="9">
        <v>0</v>
      </c>
      <c r="D73" s="8">
        <v>0</v>
      </c>
      <c r="E73" s="8"/>
      <c r="F73" s="8">
        <f t="shared" si="14"/>
        <v>0</v>
      </c>
      <c r="G73" s="8">
        <v>0</v>
      </c>
      <c r="H73" s="8"/>
      <c r="I73" s="8">
        <f t="shared" si="15"/>
        <v>0</v>
      </c>
    </row>
    <row r="74" spans="1:9" ht="12.75">
      <c r="A74" s="6"/>
      <c r="B74" s="7" t="s">
        <v>195</v>
      </c>
      <c r="C74" s="9">
        <v>5456.75</v>
      </c>
      <c r="D74" s="8">
        <v>6000</v>
      </c>
      <c r="E74" s="8">
        <f>6861.06+280</f>
        <v>7141.06</v>
      </c>
      <c r="F74" s="8">
        <f t="shared" si="14"/>
        <v>-1141.0600000000004</v>
      </c>
      <c r="G74" s="8">
        <v>7280</v>
      </c>
      <c r="H74" s="8">
        <v>-7280</v>
      </c>
      <c r="I74" s="8">
        <f t="shared" si="15"/>
        <v>0</v>
      </c>
    </row>
    <row r="75" spans="1:9" ht="13.5" thickBot="1">
      <c r="A75" s="54"/>
      <c r="B75" s="31" t="s">
        <v>204</v>
      </c>
      <c r="C75" s="55">
        <f aca="true" t="shared" si="16" ref="C75:I75">SUM(C72:C74)</f>
        <v>81445.59</v>
      </c>
      <c r="D75" s="55">
        <f t="shared" si="16"/>
        <v>113438</v>
      </c>
      <c r="E75" s="55">
        <f t="shared" si="16"/>
        <v>74108.48999999999</v>
      </c>
      <c r="F75" s="55">
        <f t="shared" si="16"/>
        <v>39329.51000000001</v>
      </c>
      <c r="G75" s="55">
        <f t="shared" si="16"/>
        <v>75731</v>
      </c>
      <c r="H75" s="55">
        <f t="shared" si="16"/>
        <v>-75731</v>
      </c>
      <c r="I75" s="55">
        <f t="shared" si="16"/>
        <v>0</v>
      </c>
    </row>
    <row r="76" spans="1:9" ht="13.5" thickTop="1">
      <c r="A76" s="6"/>
      <c r="B76" s="7" t="s">
        <v>205</v>
      </c>
      <c r="C76" s="9">
        <v>33879.47</v>
      </c>
      <c r="D76" s="8">
        <v>41000</v>
      </c>
      <c r="E76" s="8">
        <v>35250.64</v>
      </c>
      <c r="F76" s="8">
        <f t="shared" si="14"/>
        <v>5749.360000000001</v>
      </c>
      <c r="G76" s="8">
        <v>41000</v>
      </c>
      <c r="H76" s="8">
        <v>-41000</v>
      </c>
      <c r="I76" s="8">
        <f t="shared" si="15"/>
        <v>0</v>
      </c>
    </row>
    <row r="77" spans="1:9" ht="12.75">
      <c r="A77" s="6"/>
      <c r="B77" s="7" t="s">
        <v>206</v>
      </c>
      <c r="C77" s="9">
        <v>0</v>
      </c>
      <c r="D77" s="8">
        <v>0</v>
      </c>
      <c r="E77" s="8"/>
      <c r="F77" s="8">
        <f t="shared" si="14"/>
        <v>0</v>
      </c>
      <c r="G77" s="8">
        <v>0</v>
      </c>
      <c r="H77" s="8"/>
      <c r="I77" s="8">
        <f t="shared" si="15"/>
        <v>0</v>
      </c>
    </row>
    <row r="78" spans="1:9" ht="12.75">
      <c r="A78" s="6"/>
      <c r="B78" s="7" t="s">
        <v>207</v>
      </c>
      <c r="C78" s="9">
        <v>15887.89</v>
      </c>
      <c r="D78" s="8">
        <v>14000</v>
      </c>
      <c r="E78" s="8">
        <v>15132.58</v>
      </c>
      <c r="F78" s="8">
        <f t="shared" si="14"/>
        <v>-1132.58</v>
      </c>
      <c r="G78" s="8">
        <v>14000</v>
      </c>
      <c r="H78" s="8">
        <v>-14000</v>
      </c>
      <c r="I78" s="8">
        <f t="shared" si="15"/>
        <v>0</v>
      </c>
    </row>
    <row r="79" spans="1:9" ht="12.75">
      <c r="A79" s="6"/>
      <c r="B79" s="7" t="s">
        <v>209</v>
      </c>
      <c r="C79" s="9">
        <v>6697.59</v>
      </c>
      <c r="D79" s="8">
        <v>7000</v>
      </c>
      <c r="E79" s="8">
        <v>15366.9</v>
      </c>
      <c r="F79" s="8">
        <f t="shared" si="14"/>
        <v>-8366.9</v>
      </c>
      <c r="G79" s="8">
        <v>8000</v>
      </c>
      <c r="H79" s="8">
        <v>-8000</v>
      </c>
      <c r="I79" s="8">
        <f t="shared" si="15"/>
        <v>0</v>
      </c>
    </row>
    <row r="80" spans="1:9" ht="13.5" thickBot="1">
      <c r="A80" s="54"/>
      <c r="B80" s="11" t="s">
        <v>210</v>
      </c>
      <c r="C80" s="12">
        <f aca="true" t="shared" si="17" ref="C80:I80">SUM(C76:C79)</f>
        <v>56464.95</v>
      </c>
      <c r="D80" s="12">
        <f t="shared" si="17"/>
        <v>62000</v>
      </c>
      <c r="E80" s="12">
        <f t="shared" si="17"/>
        <v>65750.12</v>
      </c>
      <c r="F80" s="12">
        <f t="shared" si="17"/>
        <v>-3750.119999999999</v>
      </c>
      <c r="G80" s="12">
        <f t="shared" si="17"/>
        <v>63000</v>
      </c>
      <c r="H80" s="12">
        <f t="shared" si="17"/>
        <v>-63000</v>
      </c>
      <c r="I80" s="12">
        <f t="shared" si="17"/>
        <v>0</v>
      </c>
    </row>
    <row r="81" spans="1:9" ht="14.25" thickBot="1" thickTop="1">
      <c r="A81" s="33" t="s">
        <v>73</v>
      </c>
      <c r="B81" s="34" t="s">
        <v>75</v>
      </c>
      <c r="C81" s="69">
        <f aca="true" t="shared" si="18" ref="C81:I81">C80+C75</f>
        <v>137910.53999999998</v>
      </c>
      <c r="D81" s="69">
        <f t="shared" si="18"/>
        <v>175438</v>
      </c>
      <c r="E81" s="69">
        <f t="shared" si="18"/>
        <v>139858.61</v>
      </c>
      <c r="F81" s="69">
        <f t="shared" si="18"/>
        <v>35579.390000000014</v>
      </c>
      <c r="G81" s="69">
        <f t="shared" si="18"/>
        <v>138731</v>
      </c>
      <c r="H81" s="69">
        <f t="shared" si="18"/>
        <v>-138731</v>
      </c>
      <c r="I81" s="69">
        <f t="shared" si="18"/>
        <v>0</v>
      </c>
    </row>
    <row r="82" spans="1:9" ht="13.5" thickTop="1">
      <c r="A82" s="6"/>
      <c r="B82" s="7"/>
      <c r="C82" s="9"/>
      <c r="D82" s="8"/>
      <c r="E82" s="8"/>
      <c r="F82" s="8"/>
      <c r="G82" s="8"/>
      <c r="H82" s="8"/>
      <c r="I82" s="8"/>
    </row>
    <row r="83" spans="1:9" ht="13.5" thickBot="1">
      <c r="A83" s="121"/>
      <c r="B83" s="122"/>
      <c r="C83" s="56">
        <v>0</v>
      </c>
      <c r="D83" s="56">
        <v>0</v>
      </c>
      <c r="E83" s="56"/>
      <c r="F83" s="56"/>
      <c r="G83" s="56"/>
      <c r="H83" s="56"/>
      <c r="I83" s="56"/>
    </row>
    <row r="84" spans="1:9" ht="13.5" thickTop="1">
      <c r="A84" s="6"/>
      <c r="B84" s="57"/>
      <c r="C84" s="9"/>
      <c r="D84" s="8"/>
      <c r="E84" s="8"/>
      <c r="F84" s="8"/>
      <c r="G84" s="8"/>
      <c r="H84" s="8"/>
      <c r="I84" s="8"/>
    </row>
    <row r="85" spans="1:9" ht="13.5" thickBot="1">
      <c r="A85" s="117" t="s">
        <v>100</v>
      </c>
      <c r="B85" s="118"/>
      <c r="C85" s="58">
        <f aca="true" t="shared" si="19" ref="C85:I85">C58+C70+C81+C83</f>
        <v>1336353.96</v>
      </c>
      <c r="D85" s="58">
        <f t="shared" si="19"/>
        <v>1545112.5</v>
      </c>
      <c r="E85" s="58">
        <f t="shared" si="19"/>
        <v>1145731.81</v>
      </c>
      <c r="F85" s="58">
        <f t="shared" si="19"/>
        <v>399380.69</v>
      </c>
      <c r="G85" s="58">
        <f t="shared" si="19"/>
        <v>1591255</v>
      </c>
      <c r="H85" s="58">
        <f t="shared" si="19"/>
        <v>-1591255</v>
      </c>
      <c r="I85" s="58">
        <f t="shared" si="19"/>
        <v>0</v>
      </c>
    </row>
    <row r="86" spans="1:7" ht="12.75">
      <c r="A86" s="59"/>
      <c r="B86" s="7"/>
      <c r="C86" s="60"/>
      <c r="D86" s="60"/>
      <c r="E86" s="60"/>
      <c r="F86" s="60"/>
      <c r="G86" s="60"/>
    </row>
    <row r="87" spans="1:7" ht="12.75">
      <c r="A87" s="59"/>
      <c r="B87" s="70"/>
      <c r="C87" s="60"/>
      <c r="D87" s="60"/>
      <c r="E87" s="60"/>
      <c r="F87" s="60"/>
      <c r="G87" s="71"/>
    </row>
  </sheetData>
  <mergeCells count="11">
    <mergeCell ref="A83:B83"/>
    <mergeCell ref="A85:B85"/>
    <mergeCell ref="A1:I2"/>
    <mergeCell ref="A3:B5"/>
    <mergeCell ref="C3:C4"/>
    <mergeCell ref="D3:D4"/>
    <mergeCell ref="E3:E4"/>
    <mergeCell ref="F3:F4"/>
    <mergeCell ref="G3:G4"/>
    <mergeCell ref="H3:H4"/>
    <mergeCell ref="I3:I4"/>
  </mergeCells>
  <printOptions gridLines="1"/>
  <pageMargins left="0.43" right="0.33" top="1" bottom="1" header="0.5" footer="0.5"/>
  <pageSetup horizontalDpi="150" verticalDpi="15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A1" sqref="A1:I2"/>
    </sheetView>
  </sheetViews>
  <sheetFormatPr defaultColWidth="9.140625" defaultRowHeight="12.75"/>
  <cols>
    <col min="1" max="1" width="5.57421875" style="0" bestFit="1" customWidth="1"/>
    <col min="2" max="2" width="36.00390625" style="0" bestFit="1" customWidth="1"/>
    <col min="3" max="9" width="13.7109375" style="0" customWidth="1"/>
  </cols>
  <sheetData>
    <row r="1" spans="1:9" ht="12.75">
      <c r="A1" s="102" t="s">
        <v>225</v>
      </c>
      <c r="B1" s="103"/>
      <c r="C1" s="103"/>
      <c r="D1" s="103"/>
      <c r="E1" s="103"/>
      <c r="F1" s="103"/>
      <c r="G1" s="103"/>
      <c r="H1" s="103"/>
      <c r="I1" s="104"/>
    </row>
    <row r="2" spans="1:9" ht="13.5" thickBot="1">
      <c r="A2" s="105"/>
      <c r="B2" s="106"/>
      <c r="C2" s="106"/>
      <c r="D2" s="106"/>
      <c r="E2" s="106"/>
      <c r="F2" s="106"/>
      <c r="G2" s="106"/>
      <c r="H2" s="106"/>
      <c r="I2" s="107"/>
    </row>
    <row r="3" spans="1:9" ht="12.75">
      <c r="A3" s="109" t="s">
        <v>157</v>
      </c>
      <c r="B3" s="110"/>
      <c r="C3" s="119" t="s">
        <v>0</v>
      </c>
      <c r="D3" s="115"/>
      <c r="E3" s="119" t="s">
        <v>1</v>
      </c>
      <c r="F3" s="115"/>
      <c r="G3" s="115"/>
      <c r="H3" s="119" t="s">
        <v>2</v>
      </c>
      <c r="I3" s="115"/>
    </row>
    <row r="4" spans="1:9" ht="12.75">
      <c r="A4" s="111"/>
      <c r="B4" s="112"/>
      <c r="C4" s="120"/>
      <c r="D4" s="116"/>
      <c r="E4" s="120"/>
      <c r="F4" s="116"/>
      <c r="G4" s="116"/>
      <c r="H4" s="120"/>
      <c r="I4" s="116"/>
    </row>
    <row r="5" spans="1:9" ht="13.5" thickBot="1">
      <c r="A5" s="111"/>
      <c r="B5" s="112"/>
      <c r="C5" s="2" t="s">
        <v>3</v>
      </c>
      <c r="D5" s="2" t="s">
        <v>139</v>
      </c>
      <c r="E5" s="2" t="s">
        <v>3</v>
      </c>
      <c r="F5" s="2" t="s">
        <v>213</v>
      </c>
      <c r="G5" s="2" t="s">
        <v>160</v>
      </c>
      <c r="H5" s="2" t="s">
        <v>144</v>
      </c>
      <c r="I5" s="2" t="s">
        <v>160</v>
      </c>
    </row>
    <row r="6" spans="1:9" ht="13.5" thickBot="1">
      <c r="A6" s="3" t="s">
        <v>161</v>
      </c>
      <c r="B6" s="4" t="s">
        <v>162</v>
      </c>
      <c r="C6" s="5"/>
      <c r="D6" s="5"/>
      <c r="E6" s="5"/>
      <c r="F6" s="5"/>
      <c r="G6" s="5"/>
      <c r="H6" s="5"/>
      <c r="I6" s="5"/>
    </row>
    <row r="7" spans="1:9" ht="12.75">
      <c r="A7" s="6"/>
      <c r="B7" s="7" t="s">
        <v>47</v>
      </c>
      <c r="C7" s="9">
        <v>95658.32</v>
      </c>
      <c r="D7" s="8">
        <v>84900</v>
      </c>
      <c r="E7" s="8">
        <v>68654.04</v>
      </c>
      <c r="F7" s="8">
        <f>SUM(D7-E7)</f>
        <v>16245.960000000006</v>
      </c>
      <c r="G7" s="8">
        <v>87500</v>
      </c>
      <c r="H7" s="8"/>
      <c r="I7" s="8">
        <f>SUM(G7:H7)</f>
        <v>87500</v>
      </c>
    </row>
    <row r="8" spans="1:9" ht="12.75">
      <c r="A8" s="6"/>
      <c r="B8" s="7" t="s">
        <v>163</v>
      </c>
      <c r="C8" s="9">
        <v>33382.22</v>
      </c>
      <c r="D8" s="8">
        <v>38542</v>
      </c>
      <c r="E8" s="8">
        <v>26621.35</v>
      </c>
      <c r="F8" s="8">
        <f>SUM(D8-E8)</f>
        <v>11920.650000000001</v>
      </c>
      <c r="G8" s="8">
        <v>38792</v>
      </c>
      <c r="H8" s="8"/>
      <c r="I8" s="8">
        <f>SUM(G8:H8)</f>
        <v>38792</v>
      </c>
    </row>
    <row r="9" spans="1:9" ht="12.75">
      <c r="A9" s="6"/>
      <c r="B9" s="7" t="s">
        <v>164</v>
      </c>
      <c r="C9" s="9">
        <v>10476.36</v>
      </c>
      <c r="D9" s="8">
        <v>2000</v>
      </c>
      <c r="E9" s="8">
        <v>2695.07</v>
      </c>
      <c r="F9" s="8">
        <f>SUM(D9-E9)</f>
        <v>-695.0700000000002</v>
      </c>
      <c r="G9" s="8">
        <v>3100</v>
      </c>
      <c r="H9" s="8"/>
      <c r="I9" s="8">
        <f>SUM(G9:H9)</f>
        <v>3100</v>
      </c>
    </row>
    <row r="10" spans="1:9" ht="12.75">
      <c r="A10" s="6"/>
      <c r="B10" s="7" t="s">
        <v>165</v>
      </c>
      <c r="C10" s="9">
        <v>3303.01</v>
      </c>
      <c r="D10" s="8">
        <v>2500</v>
      </c>
      <c r="E10" s="8">
        <v>1784.02</v>
      </c>
      <c r="F10" s="8">
        <f>SUM(D10-E10)</f>
        <v>715.98</v>
      </c>
      <c r="G10" s="8">
        <v>0</v>
      </c>
      <c r="H10" s="8"/>
      <c r="I10" s="8">
        <f>SUM(G10:H10)</f>
        <v>0</v>
      </c>
    </row>
    <row r="11" spans="1:9" ht="12.75">
      <c r="A11" s="6"/>
      <c r="B11" s="7" t="s">
        <v>167</v>
      </c>
      <c r="C11" s="9">
        <v>4180.49</v>
      </c>
      <c r="D11" s="8">
        <v>5000</v>
      </c>
      <c r="E11" s="8">
        <v>3276.63</v>
      </c>
      <c r="F11" s="8">
        <f>SUM(D11-E11)</f>
        <v>1723.37</v>
      </c>
      <c r="G11" s="8">
        <v>5000</v>
      </c>
      <c r="H11" s="8"/>
      <c r="I11" s="8">
        <f>SUM(G11:H11)</f>
        <v>5000</v>
      </c>
    </row>
    <row r="12" spans="1:9" ht="13.5" thickBot="1">
      <c r="A12" s="18"/>
      <c r="B12" s="11" t="s">
        <v>9</v>
      </c>
      <c r="C12" s="19">
        <f aca="true" t="shared" si="0" ref="C12:I12">SUM(C7:C11)</f>
        <v>147000.40000000002</v>
      </c>
      <c r="D12" s="19">
        <f t="shared" si="0"/>
        <v>132942</v>
      </c>
      <c r="E12" s="19">
        <f t="shared" si="0"/>
        <v>103031.11</v>
      </c>
      <c r="F12" s="19">
        <f t="shared" si="0"/>
        <v>29910.890000000007</v>
      </c>
      <c r="G12" s="19">
        <f t="shared" si="0"/>
        <v>134392</v>
      </c>
      <c r="H12" s="72">
        <f t="shared" si="0"/>
        <v>0</v>
      </c>
      <c r="I12" s="72">
        <f t="shared" si="0"/>
        <v>134392</v>
      </c>
    </row>
    <row r="13" spans="1:9" ht="13.5" thickBot="1">
      <c r="A13" s="3" t="s">
        <v>168</v>
      </c>
      <c r="B13" s="4" t="s">
        <v>169</v>
      </c>
      <c r="C13" s="5"/>
      <c r="D13" s="5"/>
      <c r="E13" s="5"/>
      <c r="F13" s="5"/>
      <c r="G13" s="5"/>
      <c r="H13" s="5"/>
      <c r="I13" s="5"/>
    </row>
    <row r="14" spans="1:9" ht="12.75">
      <c r="A14" s="6"/>
      <c r="B14" s="13" t="s">
        <v>170</v>
      </c>
      <c r="C14" s="15">
        <v>65900.88</v>
      </c>
      <c r="D14" s="14">
        <v>67582</v>
      </c>
      <c r="E14" s="14">
        <v>56700.67</v>
      </c>
      <c r="F14" s="8">
        <f aca="true" t="shared" si="1" ref="F14:F20">SUM(D14-E14)</f>
        <v>10881.330000000002</v>
      </c>
      <c r="G14" s="14">
        <v>69285</v>
      </c>
      <c r="H14" s="14"/>
      <c r="I14" s="8">
        <f aca="true" t="shared" si="2" ref="I14:I20">SUM(G14:H14)</f>
        <v>69285</v>
      </c>
    </row>
    <row r="15" spans="1:9" ht="12.75">
      <c r="A15" s="6"/>
      <c r="B15" s="13" t="s">
        <v>171</v>
      </c>
      <c r="C15" s="15">
        <v>896642.27</v>
      </c>
      <c r="D15" s="14">
        <v>852219</v>
      </c>
      <c r="E15" s="14">
        <v>652409.13</v>
      </c>
      <c r="F15" s="8">
        <f t="shared" si="1"/>
        <v>199809.87</v>
      </c>
      <c r="G15" s="14">
        <v>944703</v>
      </c>
      <c r="H15" s="14"/>
      <c r="I15" s="8">
        <f t="shared" si="2"/>
        <v>944703</v>
      </c>
    </row>
    <row r="16" spans="1:9" ht="12.75">
      <c r="A16" s="6"/>
      <c r="B16" s="13" t="s">
        <v>172</v>
      </c>
      <c r="C16" s="15">
        <v>97870.2</v>
      </c>
      <c r="D16" s="14">
        <v>41438</v>
      </c>
      <c r="E16" s="14">
        <v>69252.51</v>
      </c>
      <c r="F16" s="8">
        <f t="shared" si="1"/>
        <v>-27814.509999999995</v>
      </c>
      <c r="G16" s="14">
        <v>76033</v>
      </c>
      <c r="H16" s="14"/>
      <c r="I16" s="8">
        <f t="shared" si="2"/>
        <v>76033</v>
      </c>
    </row>
    <row r="17" spans="1:9" ht="12.75">
      <c r="A17" s="6"/>
      <c r="B17" s="7" t="s">
        <v>173</v>
      </c>
      <c r="C17" s="9">
        <v>38476.4</v>
      </c>
      <c r="D17" s="8">
        <v>48868</v>
      </c>
      <c r="E17" s="8">
        <v>32875.71</v>
      </c>
      <c r="F17" s="8">
        <f t="shared" si="1"/>
        <v>15992.29</v>
      </c>
      <c r="G17" s="8">
        <v>46694</v>
      </c>
      <c r="H17" s="8"/>
      <c r="I17" s="8">
        <f t="shared" si="2"/>
        <v>46694</v>
      </c>
    </row>
    <row r="18" spans="1:9" ht="12.75">
      <c r="A18" s="6"/>
      <c r="B18" s="7" t="s">
        <v>303</v>
      </c>
      <c r="C18" s="9"/>
      <c r="D18" s="8"/>
      <c r="E18" s="8"/>
      <c r="F18" s="8"/>
      <c r="G18" s="8"/>
      <c r="H18" s="8">
        <v>131870</v>
      </c>
      <c r="I18" s="8">
        <f>SUM(G18:H18)</f>
        <v>131870</v>
      </c>
    </row>
    <row r="19" spans="1:9" ht="12.75">
      <c r="A19" s="6"/>
      <c r="B19" s="7" t="s">
        <v>174</v>
      </c>
      <c r="C19" s="9">
        <v>2100</v>
      </c>
      <c r="D19" s="17">
        <v>3785</v>
      </c>
      <c r="E19" s="17">
        <v>3781.24</v>
      </c>
      <c r="F19" s="8">
        <f t="shared" si="1"/>
        <v>3.7600000000002183</v>
      </c>
      <c r="G19" s="17">
        <v>0</v>
      </c>
      <c r="H19" s="17"/>
      <c r="I19" s="8">
        <f t="shared" si="2"/>
        <v>0</v>
      </c>
    </row>
    <row r="20" spans="1:9" ht="12.75">
      <c r="A20" s="6"/>
      <c r="B20" s="7" t="s">
        <v>175</v>
      </c>
      <c r="C20" s="9">
        <v>0</v>
      </c>
      <c r="D20" s="17">
        <v>0</v>
      </c>
      <c r="E20" s="17"/>
      <c r="F20" s="8">
        <f t="shared" si="1"/>
        <v>0</v>
      </c>
      <c r="G20" s="17">
        <v>0</v>
      </c>
      <c r="H20" s="17"/>
      <c r="I20" s="8">
        <f t="shared" si="2"/>
        <v>0</v>
      </c>
    </row>
    <row r="21" spans="1:9" ht="13.5" thickBot="1">
      <c r="A21" s="18"/>
      <c r="B21" s="11" t="s">
        <v>9</v>
      </c>
      <c r="C21" s="19">
        <f aca="true" t="shared" si="3" ref="C21:I21">SUM(C14:C20)</f>
        <v>1100989.75</v>
      </c>
      <c r="D21" s="19">
        <f t="shared" si="3"/>
        <v>1013892</v>
      </c>
      <c r="E21" s="19">
        <f t="shared" si="3"/>
        <v>815019.26</v>
      </c>
      <c r="F21" s="19">
        <f t="shared" si="3"/>
        <v>198872.74000000002</v>
      </c>
      <c r="G21" s="19">
        <f t="shared" si="3"/>
        <v>1136715</v>
      </c>
      <c r="H21" s="19">
        <f t="shared" si="3"/>
        <v>131870</v>
      </c>
      <c r="I21" s="19">
        <f t="shared" si="3"/>
        <v>1268585</v>
      </c>
    </row>
    <row r="22" spans="1:9" ht="13.5" thickBot="1">
      <c r="A22" s="3" t="s">
        <v>38</v>
      </c>
      <c r="B22" s="65" t="s">
        <v>176</v>
      </c>
      <c r="C22" s="5"/>
      <c r="D22" s="5"/>
      <c r="E22" s="5"/>
      <c r="F22" s="5"/>
      <c r="G22" s="5"/>
      <c r="H22" s="5"/>
      <c r="I22" s="5"/>
    </row>
    <row r="23" spans="1:9" ht="12.75">
      <c r="A23" s="6"/>
      <c r="B23" s="13" t="s">
        <v>177</v>
      </c>
      <c r="C23" s="15">
        <v>119208.52</v>
      </c>
      <c r="D23" s="14">
        <v>161000</v>
      </c>
      <c r="E23" s="14">
        <v>105572.56</v>
      </c>
      <c r="F23" s="8">
        <f>SUM(D23-E23)</f>
        <v>55427.44</v>
      </c>
      <c r="G23" s="14">
        <v>212357</v>
      </c>
      <c r="H23" s="14"/>
      <c r="I23" s="8">
        <f>SUM(G23:H23)</f>
        <v>212357</v>
      </c>
    </row>
    <row r="24" spans="1:9" ht="12.75">
      <c r="A24" s="6"/>
      <c r="B24" s="13" t="s">
        <v>178</v>
      </c>
      <c r="C24" s="74">
        <v>0</v>
      </c>
      <c r="D24" s="14"/>
      <c r="E24" s="14"/>
      <c r="F24" s="8">
        <f>SUM(D24-E24)</f>
        <v>0</v>
      </c>
      <c r="G24" s="14">
        <v>14427</v>
      </c>
      <c r="H24" s="14"/>
      <c r="I24" s="8">
        <f>SUM(G24:H24)</f>
        <v>14427</v>
      </c>
    </row>
    <row r="25" spans="1:9" ht="12.75">
      <c r="A25" s="6"/>
      <c r="B25" s="13" t="s">
        <v>180</v>
      </c>
      <c r="C25" s="74">
        <v>0</v>
      </c>
      <c r="D25" s="14"/>
      <c r="E25" s="14"/>
      <c r="F25" s="8">
        <f>SUM(D25-E25)</f>
        <v>0</v>
      </c>
      <c r="G25" s="14">
        <v>15097</v>
      </c>
      <c r="H25" s="14"/>
      <c r="I25" s="8">
        <f>SUM(G25:H25)</f>
        <v>15097</v>
      </c>
    </row>
    <row r="26" spans="1:9" ht="12.75">
      <c r="A26" s="76"/>
      <c r="B26" s="75" t="s">
        <v>217</v>
      </c>
      <c r="C26" s="77">
        <v>0</v>
      </c>
      <c r="D26" s="78">
        <v>0</v>
      </c>
      <c r="E26" s="78"/>
      <c r="F26" s="8">
        <f>SUM(D26-E26)</f>
        <v>0</v>
      </c>
      <c r="G26" s="78">
        <v>6620</v>
      </c>
      <c r="H26" s="14"/>
      <c r="I26" s="8">
        <f>SUM(G26:H26)</f>
        <v>6620</v>
      </c>
    </row>
    <row r="27" spans="1:9" ht="13.5" thickBot="1">
      <c r="A27" s="6"/>
      <c r="B27" s="37" t="s">
        <v>9</v>
      </c>
      <c r="C27" s="38">
        <f aca="true" t="shared" si="4" ref="C27:I27">SUM(C23:C26)</f>
        <v>119208.52</v>
      </c>
      <c r="D27" s="38">
        <f t="shared" si="4"/>
        <v>161000</v>
      </c>
      <c r="E27" s="38">
        <f t="shared" si="4"/>
        <v>105572.56</v>
      </c>
      <c r="F27" s="38">
        <f t="shared" si="4"/>
        <v>55427.44</v>
      </c>
      <c r="G27" s="38">
        <f t="shared" si="4"/>
        <v>248501</v>
      </c>
      <c r="H27" s="38">
        <f t="shared" si="4"/>
        <v>0</v>
      </c>
      <c r="I27" s="38">
        <f t="shared" si="4"/>
        <v>248501</v>
      </c>
    </row>
    <row r="28" spans="1:9" ht="13.5" thickBot="1">
      <c r="A28" s="3" t="s">
        <v>48</v>
      </c>
      <c r="B28" s="4" t="s">
        <v>181</v>
      </c>
      <c r="C28" s="5"/>
      <c r="D28" s="5"/>
      <c r="E28" s="5"/>
      <c r="F28" s="5"/>
      <c r="G28" s="5"/>
      <c r="H28" s="5"/>
      <c r="I28" s="5"/>
    </row>
    <row r="29" spans="1:9" ht="12.75">
      <c r="A29" s="6"/>
      <c r="B29" s="13" t="s">
        <v>182</v>
      </c>
      <c r="C29" s="15">
        <v>26776.68</v>
      </c>
      <c r="D29" s="14">
        <v>95981</v>
      </c>
      <c r="E29" s="14">
        <v>45883.22</v>
      </c>
      <c r="F29" s="8">
        <f>SUM(D29-E29)</f>
        <v>50097.78</v>
      </c>
      <c r="G29" s="14">
        <v>95981</v>
      </c>
      <c r="H29" s="14"/>
      <c r="I29" s="8">
        <f>SUM(G29:H29)</f>
        <v>95981</v>
      </c>
    </row>
    <row r="30" spans="1:9" ht="13.5" thickBot="1">
      <c r="A30" s="10"/>
      <c r="B30" s="11" t="s">
        <v>9</v>
      </c>
      <c r="C30" s="19">
        <f aca="true" t="shared" si="5" ref="C30:I30">SUM(C29)</f>
        <v>26776.68</v>
      </c>
      <c r="D30" s="19">
        <f t="shared" si="5"/>
        <v>95981</v>
      </c>
      <c r="E30" s="19">
        <f t="shared" si="5"/>
        <v>45883.22</v>
      </c>
      <c r="F30" s="19">
        <f t="shared" si="5"/>
        <v>50097.78</v>
      </c>
      <c r="G30" s="19">
        <f t="shared" si="5"/>
        <v>95981</v>
      </c>
      <c r="H30" s="19">
        <f t="shared" si="5"/>
        <v>0</v>
      </c>
      <c r="I30" s="19">
        <f t="shared" si="5"/>
        <v>95981</v>
      </c>
    </row>
    <row r="31" spans="1:9" ht="13.5" thickBot="1">
      <c r="A31" s="3" t="s">
        <v>49</v>
      </c>
      <c r="B31" s="4" t="s">
        <v>183</v>
      </c>
      <c r="C31" s="5"/>
      <c r="D31" s="5"/>
      <c r="E31" s="5"/>
      <c r="F31" s="5"/>
      <c r="G31" s="5"/>
      <c r="H31" s="5"/>
      <c r="I31" s="5"/>
    </row>
    <row r="32" spans="1:9" ht="12.75">
      <c r="A32" s="6"/>
      <c r="B32" s="13" t="s">
        <v>184</v>
      </c>
      <c r="C32" s="15">
        <v>96526.98</v>
      </c>
      <c r="D32" s="14">
        <v>106144</v>
      </c>
      <c r="E32" s="14">
        <v>99082.1</v>
      </c>
      <c r="F32" s="8">
        <f>SUM(D32-E32)</f>
        <v>7061.899999999994</v>
      </c>
      <c r="G32" s="14">
        <v>157879</v>
      </c>
      <c r="H32" s="14"/>
      <c r="I32" s="8">
        <f>SUM(G32:H32)</f>
        <v>157879</v>
      </c>
    </row>
    <row r="33" spans="1:9" ht="12.75">
      <c r="A33" s="6"/>
      <c r="B33" s="13" t="s">
        <v>185</v>
      </c>
      <c r="C33" s="15">
        <v>0</v>
      </c>
      <c r="D33" s="14">
        <v>0</v>
      </c>
      <c r="E33" s="14"/>
      <c r="F33" s="8">
        <f>SUM(D33-E33)</f>
        <v>0</v>
      </c>
      <c r="G33" s="14">
        <v>0</v>
      </c>
      <c r="H33" s="14"/>
      <c r="I33" s="8">
        <f>SUM(G33:H33)</f>
        <v>0</v>
      </c>
    </row>
    <row r="34" spans="1:9" ht="12.75">
      <c r="A34" s="6"/>
      <c r="B34" s="7" t="s">
        <v>218</v>
      </c>
      <c r="C34" s="9">
        <v>0</v>
      </c>
      <c r="D34" s="8">
        <v>0</v>
      </c>
      <c r="E34" s="8"/>
      <c r="F34" s="8">
        <f>SUM(D34-E34)</f>
        <v>0</v>
      </c>
      <c r="G34" s="8">
        <v>0</v>
      </c>
      <c r="H34" s="14"/>
      <c r="I34" s="8">
        <f>SUM(G34:H34)</f>
        <v>0</v>
      </c>
    </row>
    <row r="35" spans="1:9" ht="13.5" thickBot="1">
      <c r="A35" s="10"/>
      <c r="B35" s="11" t="s">
        <v>9</v>
      </c>
      <c r="C35" s="12">
        <f>SUM(C32:C34)</f>
        <v>96526.98</v>
      </c>
      <c r="D35" s="12">
        <f>SUM(D32:D34)</f>
        <v>106144</v>
      </c>
      <c r="E35" s="12">
        <f>SUM(E32:E34)</f>
        <v>99082.1</v>
      </c>
      <c r="F35" s="12">
        <f>SUM(F32:F34)</f>
        <v>7061.899999999994</v>
      </c>
      <c r="G35" s="12">
        <f>SUM(G32:G34)</f>
        <v>157879</v>
      </c>
      <c r="H35" s="12">
        <f>SUM(H32:H33)</f>
        <v>0</v>
      </c>
      <c r="I35" s="12">
        <f>SUM(I32:I33)</f>
        <v>157879</v>
      </c>
    </row>
    <row r="36" spans="1:9" ht="13.5" thickBot="1">
      <c r="A36" s="3" t="s">
        <v>51</v>
      </c>
      <c r="B36" s="4" t="s">
        <v>186</v>
      </c>
      <c r="C36" s="5"/>
      <c r="D36" s="5"/>
      <c r="E36" s="5"/>
      <c r="F36" s="5"/>
      <c r="G36" s="5"/>
      <c r="H36" s="5"/>
      <c r="I36" s="5"/>
    </row>
    <row r="37" spans="1:9" ht="12.75">
      <c r="A37" s="6"/>
      <c r="B37" s="7" t="s">
        <v>187</v>
      </c>
      <c r="C37" s="9">
        <v>1925</v>
      </c>
      <c r="D37" s="8">
        <v>100</v>
      </c>
      <c r="E37" s="8">
        <v>100</v>
      </c>
      <c r="F37" s="8">
        <f>SUM(D37-E37)</f>
        <v>0</v>
      </c>
      <c r="G37" s="8">
        <v>4000</v>
      </c>
      <c r="H37" s="8"/>
      <c r="I37" s="8">
        <f>SUM(G37:H37)</f>
        <v>4000</v>
      </c>
    </row>
    <row r="38" spans="1:9" ht="12.75">
      <c r="A38" s="6"/>
      <c r="B38" s="7" t="s">
        <v>166</v>
      </c>
      <c r="C38" s="9">
        <v>285.86</v>
      </c>
      <c r="D38" s="8">
        <v>0</v>
      </c>
      <c r="E38" s="8">
        <v>231.47</v>
      </c>
      <c r="F38" s="8">
        <f>SUM(D38-E38)</f>
        <v>-231.47</v>
      </c>
      <c r="G38" s="8">
        <v>0</v>
      </c>
      <c r="H38" s="8"/>
      <c r="I38" s="8">
        <f>SUM(G38:H38)</f>
        <v>0</v>
      </c>
    </row>
    <row r="39" spans="1:9" ht="12.75">
      <c r="A39" s="6"/>
      <c r="B39" s="7" t="s">
        <v>188</v>
      </c>
      <c r="C39" s="9">
        <f>987+2741</f>
        <v>3728</v>
      </c>
      <c r="D39" s="8">
        <v>3600</v>
      </c>
      <c r="E39" s="8">
        <f>1042+2555.77</f>
        <v>3597.77</v>
      </c>
      <c r="F39" s="8">
        <f>SUM(D39-E39)</f>
        <v>2.230000000000018</v>
      </c>
      <c r="G39" s="8">
        <v>3000</v>
      </c>
      <c r="H39" s="8"/>
      <c r="I39" s="8">
        <f>SUM(G39:H39)</f>
        <v>3000</v>
      </c>
    </row>
    <row r="40" spans="1:9" ht="13.5" thickBot="1">
      <c r="A40" s="23"/>
      <c r="B40" s="24" t="s">
        <v>9</v>
      </c>
      <c r="C40" s="41">
        <f aca="true" t="shared" si="6" ref="C40:I40">SUM(C37:C39)</f>
        <v>5938.860000000001</v>
      </c>
      <c r="D40" s="41">
        <f t="shared" si="6"/>
        <v>3700</v>
      </c>
      <c r="E40" s="41">
        <f t="shared" si="6"/>
        <v>3929.24</v>
      </c>
      <c r="F40" s="41">
        <f t="shared" si="6"/>
        <v>-229.23999999999998</v>
      </c>
      <c r="G40" s="41">
        <f t="shared" si="6"/>
        <v>7000</v>
      </c>
      <c r="H40" s="41">
        <f t="shared" si="6"/>
        <v>0</v>
      </c>
      <c r="I40" s="41">
        <f t="shared" si="6"/>
        <v>7000</v>
      </c>
    </row>
    <row r="41" spans="1:9" ht="13.5" thickBot="1">
      <c r="A41" s="43" t="s">
        <v>54</v>
      </c>
      <c r="B41" s="4" t="s">
        <v>55</v>
      </c>
      <c r="C41" s="5"/>
      <c r="D41" s="5"/>
      <c r="E41" s="5"/>
      <c r="F41" s="5"/>
      <c r="G41" s="5"/>
      <c r="H41" s="5"/>
      <c r="I41" s="5"/>
    </row>
    <row r="42" spans="1:9" ht="12.75">
      <c r="A42" s="6"/>
      <c r="B42" s="7" t="s">
        <v>56</v>
      </c>
      <c r="C42" s="15">
        <v>25837.6</v>
      </c>
      <c r="D42" s="8">
        <v>4500</v>
      </c>
      <c r="E42" s="8"/>
      <c r="F42" s="8">
        <f aca="true" t="shared" si="7" ref="F42:F48">SUM(D42-E42)</f>
        <v>4500</v>
      </c>
      <c r="G42" s="8">
        <v>4500</v>
      </c>
      <c r="H42" s="8"/>
      <c r="I42" s="8">
        <f aca="true" t="shared" si="8" ref="I42:I48">SUM(G42:H42)</f>
        <v>4500</v>
      </c>
    </row>
    <row r="43" spans="1:9" ht="12.75">
      <c r="A43" s="6"/>
      <c r="B43" s="7" t="s">
        <v>189</v>
      </c>
      <c r="C43" s="15">
        <v>811.13</v>
      </c>
      <c r="D43" s="8">
        <v>1500</v>
      </c>
      <c r="E43" s="8">
        <v>503.63</v>
      </c>
      <c r="F43" s="8">
        <f t="shared" si="7"/>
        <v>996.37</v>
      </c>
      <c r="G43" s="8">
        <v>1500</v>
      </c>
      <c r="H43" s="8"/>
      <c r="I43" s="8">
        <f t="shared" si="8"/>
        <v>1500</v>
      </c>
    </row>
    <row r="44" spans="1:9" ht="12.75">
      <c r="A44" s="6"/>
      <c r="B44" s="7" t="s">
        <v>190</v>
      </c>
      <c r="C44" s="15">
        <v>2147.79</v>
      </c>
      <c r="D44" s="8">
        <v>2000</v>
      </c>
      <c r="E44" s="8">
        <v>1844.82</v>
      </c>
      <c r="F44" s="8">
        <f t="shared" si="7"/>
        <v>155.18000000000006</v>
      </c>
      <c r="G44" s="8"/>
      <c r="H44" s="8"/>
      <c r="I44" s="8">
        <f t="shared" si="8"/>
        <v>0</v>
      </c>
    </row>
    <row r="45" spans="1:9" ht="12.75">
      <c r="A45" s="6"/>
      <c r="B45" s="7" t="s">
        <v>191</v>
      </c>
      <c r="C45" s="9">
        <v>48148.6</v>
      </c>
      <c r="D45" s="8">
        <v>18255</v>
      </c>
      <c r="E45" s="8">
        <v>17771.24</v>
      </c>
      <c r="F45" s="8">
        <f t="shared" si="7"/>
        <v>483.7599999999984</v>
      </c>
      <c r="G45" s="8">
        <v>19298</v>
      </c>
      <c r="H45" s="8"/>
      <c r="I45" s="8">
        <f t="shared" si="8"/>
        <v>19298</v>
      </c>
    </row>
    <row r="46" spans="1:9" ht="12.75">
      <c r="A46" s="6"/>
      <c r="B46" s="7" t="s">
        <v>192</v>
      </c>
      <c r="C46" s="9">
        <v>0</v>
      </c>
      <c r="D46" s="8">
        <v>0</v>
      </c>
      <c r="E46" s="8"/>
      <c r="F46" s="8">
        <f t="shared" si="7"/>
        <v>0</v>
      </c>
      <c r="G46" s="8">
        <v>2400</v>
      </c>
      <c r="H46" s="8"/>
      <c r="I46" s="8">
        <f t="shared" si="8"/>
        <v>2400</v>
      </c>
    </row>
    <row r="47" spans="1:9" ht="12.75">
      <c r="A47" s="6"/>
      <c r="B47" s="7" t="s">
        <v>226</v>
      </c>
      <c r="C47" s="9">
        <v>0</v>
      </c>
      <c r="D47" s="8">
        <v>100</v>
      </c>
      <c r="E47" s="8"/>
      <c r="F47" s="8">
        <f t="shared" si="7"/>
        <v>100</v>
      </c>
      <c r="G47" s="8">
        <v>103</v>
      </c>
      <c r="H47" s="8"/>
      <c r="I47" s="8">
        <f t="shared" si="8"/>
        <v>103</v>
      </c>
    </row>
    <row r="48" spans="1:9" ht="12.75">
      <c r="A48" s="6"/>
      <c r="B48" s="7" t="s">
        <v>224</v>
      </c>
      <c r="C48" s="9">
        <v>1244.54</v>
      </c>
      <c r="D48" s="8">
        <v>2000</v>
      </c>
      <c r="E48" s="8">
        <v>3206.5</v>
      </c>
      <c r="F48" s="8">
        <f t="shared" si="7"/>
        <v>-1206.5</v>
      </c>
      <c r="G48" s="8">
        <v>2050</v>
      </c>
      <c r="H48" s="8"/>
      <c r="I48" s="8">
        <f t="shared" si="8"/>
        <v>2050</v>
      </c>
    </row>
    <row r="49" spans="1:9" ht="13.5" thickBot="1">
      <c r="A49" s="10"/>
      <c r="B49" s="11" t="s">
        <v>9</v>
      </c>
      <c r="C49" s="12">
        <f aca="true" t="shared" si="9" ref="C49:I49">SUM(C42:C48)</f>
        <v>78189.65999999999</v>
      </c>
      <c r="D49" s="12">
        <f t="shared" si="9"/>
        <v>28355</v>
      </c>
      <c r="E49" s="12">
        <f t="shared" si="9"/>
        <v>23326.190000000002</v>
      </c>
      <c r="F49" s="12">
        <f t="shared" si="9"/>
        <v>5028.809999999999</v>
      </c>
      <c r="G49" s="12">
        <f t="shared" si="9"/>
        <v>29851</v>
      </c>
      <c r="H49" s="12">
        <f t="shared" si="9"/>
        <v>0</v>
      </c>
      <c r="I49" s="12">
        <f t="shared" si="9"/>
        <v>29851</v>
      </c>
    </row>
    <row r="50" spans="1:9" ht="13.5" thickBot="1">
      <c r="A50" s="3" t="s">
        <v>58</v>
      </c>
      <c r="B50" s="4" t="s">
        <v>59</v>
      </c>
      <c r="C50" s="5"/>
      <c r="D50" s="5"/>
      <c r="E50" s="5"/>
      <c r="F50" s="5"/>
      <c r="G50" s="5"/>
      <c r="H50" s="5"/>
      <c r="I50" s="5"/>
    </row>
    <row r="51" spans="1:9" ht="12.75">
      <c r="A51" s="6"/>
      <c r="B51" s="7" t="s">
        <v>30</v>
      </c>
      <c r="C51" s="9">
        <v>18016</v>
      </c>
      <c r="D51" s="8">
        <v>9000</v>
      </c>
      <c r="E51" s="8">
        <v>5587.78</v>
      </c>
      <c r="F51" s="8">
        <f>SUM(D51-E51)</f>
        <v>3412.2200000000003</v>
      </c>
      <c r="G51" s="8">
        <v>9000</v>
      </c>
      <c r="H51" s="8"/>
      <c r="I51" s="8">
        <f>SUM(G51:H51)</f>
        <v>9000</v>
      </c>
    </row>
    <row r="52" spans="1:9" ht="12.75">
      <c r="A52" s="6"/>
      <c r="B52" s="7" t="s">
        <v>208</v>
      </c>
      <c r="C52" s="9">
        <v>6416.67</v>
      </c>
      <c r="D52" s="8">
        <v>5000</v>
      </c>
      <c r="E52" s="8">
        <v>704.22</v>
      </c>
      <c r="F52" s="8">
        <f>SUM(D52-E52)</f>
        <v>4295.78</v>
      </c>
      <c r="G52" s="8">
        <v>7000</v>
      </c>
      <c r="H52" s="8"/>
      <c r="I52" s="8">
        <f>SUM(G52:H52)</f>
        <v>7000</v>
      </c>
    </row>
    <row r="53" spans="1:9" ht="12.75">
      <c r="A53" s="6"/>
      <c r="B53" s="7" t="s">
        <v>311</v>
      </c>
      <c r="C53" s="9">
        <v>12841</v>
      </c>
      <c r="D53" s="8">
        <v>7000</v>
      </c>
      <c r="E53" s="8"/>
      <c r="F53" s="8">
        <f>SUM(D53-E53)</f>
        <v>7000</v>
      </c>
      <c r="G53" s="8">
        <v>7550</v>
      </c>
      <c r="H53" s="8"/>
      <c r="I53" s="8">
        <f>SUM(G53:H53)</f>
        <v>7550</v>
      </c>
    </row>
    <row r="54" spans="1:9" ht="13.5" thickBot="1">
      <c r="A54" s="10"/>
      <c r="B54" s="11" t="s">
        <v>9</v>
      </c>
      <c r="C54" s="12">
        <f aca="true" t="shared" si="10" ref="C54:I54">SUM(C51:C53)</f>
        <v>37273.67</v>
      </c>
      <c r="D54" s="12">
        <f t="shared" si="10"/>
        <v>21000</v>
      </c>
      <c r="E54" s="12">
        <f t="shared" si="10"/>
        <v>6292</v>
      </c>
      <c r="F54" s="12">
        <f t="shared" si="10"/>
        <v>14708</v>
      </c>
      <c r="G54" s="12">
        <f t="shared" si="10"/>
        <v>23550</v>
      </c>
      <c r="H54" s="12">
        <f t="shared" si="10"/>
        <v>0</v>
      </c>
      <c r="I54" s="12">
        <f t="shared" si="10"/>
        <v>23550</v>
      </c>
    </row>
    <row r="55" spans="1:9" ht="13.5" thickBot="1">
      <c r="A55" s="3" t="s">
        <v>60</v>
      </c>
      <c r="B55" s="4" t="s">
        <v>146</v>
      </c>
      <c r="C55" s="5"/>
      <c r="D55" s="5"/>
      <c r="E55" s="5"/>
      <c r="F55" s="5"/>
      <c r="G55" s="5"/>
      <c r="H55" s="5"/>
      <c r="I55" s="5"/>
    </row>
    <row r="56" spans="1:9" ht="12.75">
      <c r="A56" s="6"/>
      <c r="B56" s="7" t="s">
        <v>12</v>
      </c>
      <c r="C56" s="9">
        <v>41718.87</v>
      </c>
      <c r="D56" s="8">
        <v>57923</v>
      </c>
      <c r="E56" s="8">
        <v>41171.16</v>
      </c>
      <c r="F56" s="8">
        <f>SUM(D56-E56)</f>
        <v>16751.839999999997</v>
      </c>
      <c r="G56" s="8">
        <v>58293</v>
      </c>
      <c r="H56" s="8">
        <v>-13003</v>
      </c>
      <c r="I56" s="8">
        <f>SUM(G56:H56)</f>
        <v>45290</v>
      </c>
    </row>
    <row r="57" spans="1:9" ht="12.75">
      <c r="A57" s="6"/>
      <c r="B57" s="7" t="s">
        <v>195</v>
      </c>
      <c r="C57" s="9">
        <v>0</v>
      </c>
      <c r="D57" s="8">
        <v>350</v>
      </c>
      <c r="E57" s="8">
        <v>747.93</v>
      </c>
      <c r="F57" s="8">
        <f>SUM(D57-E57)</f>
        <v>-397.92999999999995</v>
      </c>
      <c r="G57" s="8">
        <v>350</v>
      </c>
      <c r="H57" s="8"/>
      <c r="I57" s="8">
        <f>SUM(G57:H57)</f>
        <v>350</v>
      </c>
    </row>
    <row r="58" spans="1:9" ht="13.5" thickBot="1">
      <c r="A58" s="10"/>
      <c r="B58" s="11" t="s">
        <v>9</v>
      </c>
      <c r="C58" s="12">
        <f>SUM(C56:C57)</f>
        <v>41718.87</v>
      </c>
      <c r="D58" s="12">
        <f>SUM(D56:D57)</f>
        <v>58273</v>
      </c>
      <c r="E58" s="12">
        <f>SUM(E56:E57)</f>
        <v>41919.090000000004</v>
      </c>
      <c r="F58" s="8">
        <f>SUM(D58-E58)</f>
        <v>16353.909999999996</v>
      </c>
      <c r="G58" s="12">
        <f>SUM(G56:G57)</f>
        <v>58643</v>
      </c>
      <c r="H58" s="12">
        <f>SUM(H56:H57)</f>
        <v>-13003</v>
      </c>
      <c r="I58" s="12">
        <f>SUM(I56:I57)</f>
        <v>45640</v>
      </c>
    </row>
    <row r="59" spans="1:9" ht="14.25" thickBot="1" thickTop="1">
      <c r="A59" s="33" t="s">
        <v>64</v>
      </c>
      <c r="B59" s="34" t="s">
        <v>65</v>
      </c>
      <c r="C59" s="48">
        <f aca="true" t="shared" si="11" ref="C59:I59">C58+C54+C49+C40+C35+C30+C27+C21+C12</f>
        <v>1653623.3900000001</v>
      </c>
      <c r="D59" s="48">
        <f t="shared" si="11"/>
        <v>1621287</v>
      </c>
      <c r="E59" s="48">
        <f t="shared" si="11"/>
        <v>1244054.7700000003</v>
      </c>
      <c r="F59" s="48">
        <f t="shared" si="11"/>
        <v>377232.23</v>
      </c>
      <c r="G59" s="48">
        <f t="shared" si="11"/>
        <v>1892512</v>
      </c>
      <c r="H59" s="48">
        <f t="shared" si="11"/>
        <v>118867</v>
      </c>
      <c r="I59" s="48">
        <f t="shared" si="11"/>
        <v>2011379</v>
      </c>
    </row>
    <row r="60" spans="1:9" ht="14.25" thickBot="1" thickTop="1">
      <c r="A60" s="36"/>
      <c r="B60" s="37"/>
      <c r="C60" s="39"/>
      <c r="D60" s="38"/>
      <c r="E60" s="38"/>
      <c r="F60" s="38"/>
      <c r="G60" s="38"/>
      <c r="H60" s="38"/>
      <c r="I60" s="38"/>
    </row>
    <row r="61" spans="1:9" ht="13.5" thickBot="1">
      <c r="A61" s="3" t="s">
        <v>66</v>
      </c>
      <c r="B61" s="4" t="s">
        <v>67</v>
      </c>
      <c r="C61" s="5"/>
      <c r="D61" s="5"/>
      <c r="E61" s="5"/>
      <c r="F61" s="5"/>
      <c r="G61" s="5"/>
      <c r="H61" s="5"/>
      <c r="I61" s="5"/>
    </row>
    <row r="62" spans="1:9" ht="12.75">
      <c r="A62" s="6"/>
      <c r="B62" s="7" t="s">
        <v>196</v>
      </c>
      <c r="C62" s="9">
        <v>51627.27</v>
      </c>
      <c r="D62" s="8">
        <v>52613</v>
      </c>
      <c r="E62" s="8">
        <v>39606.08</v>
      </c>
      <c r="F62" s="8">
        <f>SUM(D62-E62)</f>
        <v>13006.919999999998</v>
      </c>
      <c r="G62" s="8">
        <v>54928</v>
      </c>
      <c r="H62" s="8"/>
      <c r="I62" s="8">
        <f>SUM(G62:H62)</f>
        <v>54928</v>
      </c>
    </row>
    <row r="63" spans="1:9" ht="12.75">
      <c r="A63" s="6"/>
      <c r="B63" s="7" t="s">
        <v>197</v>
      </c>
      <c r="C63" s="9">
        <v>0</v>
      </c>
      <c r="D63" s="8">
        <v>0</v>
      </c>
      <c r="E63" s="8">
        <v>371.96</v>
      </c>
      <c r="F63" s="8">
        <f>SUM(D63-E63)</f>
        <v>-371.96</v>
      </c>
      <c r="G63" s="8">
        <v>500</v>
      </c>
      <c r="H63" s="8"/>
      <c r="I63" s="8">
        <f>SUM(G63:H63)</f>
        <v>500</v>
      </c>
    </row>
    <row r="64" spans="1:9" ht="12.75">
      <c r="A64" s="6"/>
      <c r="B64" s="7" t="s">
        <v>198</v>
      </c>
      <c r="C64" s="9">
        <v>17704</v>
      </c>
      <c r="D64" s="8">
        <v>109505</v>
      </c>
      <c r="E64" s="8">
        <v>14951.6</v>
      </c>
      <c r="F64" s="8">
        <f>SUM(D64-E64)</f>
        <v>94553.4</v>
      </c>
      <c r="G64" s="8">
        <v>85816</v>
      </c>
      <c r="H64" s="8"/>
      <c r="I64" s="8">
        <f>SUM(G64:H64)</f>
        <v>85816</v>
      </c>
    </row>
    <row r="65" spans="1:9" ht="12.75">
      <c r="A65" s="6"/>
      <c r="B65" s="7" t="s">
        <v>195</v>
      </c>
      <c r="C65" s="9">
        <v>643.08</v>
      </c>
      <c r="D65" s="8">
        <v>422</v>
      </c>
      <c r="E65" s="8"/>
      <c r="F65" s="8">
        <f>SUM(D65-E65)</f>
        <v>422</v>
      </c>
      <c r="G65" s="8">
        <v>0</v>
      </c>
      <c r="H65" s="8"/>
      <c r="I65" s="8">
        <f>SUM(G65:H65)</f>
        <v>0</v>
      </c>
    </row>
    <row r="66" spans="1:9" ht="13.5" thickBot="1">
      <c r="A66" s="10"/>
      <c r="B66" s="11" t="s">
        <v>9</v>
      </c>
      <c r="C66" s="12">
        <f aca="true" t="shared" si="12" ref="C66:I66">SUM(C62:C65)</f>
        <v>69974.34999999999</v>
      </c>
      <c r="D66" s="12">
        <f t="shared" si="12"/>
        <v>162540</v>
      </c>
      <c r="E66" s="12">
        <f t="shared" si="12"/>
        <v>54929.64</v>
      </c>
      <c r="F66" s="12">
        <f t="shared" si="12"/>
        <v>107610.35999999999</v>
      </c>
      <c r="G66" s="12">
        <f t="shared" si="12"/>
        <v>141244</v>
      </c>
      <c r="H66" s="12">
        <f t="shared" si="12"/>
        <v>0</v>
      </c>
      <c r="I66" s="12">
        <f t="shared" si="12"/>
        <v>141244</v>
      </c>
    </row>
    <row r="67" spans="1:9" ht="13.5" thickBot="1">
      <c r="A67" s="3" t="s">
        <v>199</v>
      </c>
      <c r="B67" s="4" t="s">
        <v>200</v>
      </c>
      <c r="C67" s="5"/>
      <c r="D67" s="5"/>
      <c r="E67" s="5"/>
      <c r="F67" s="5"/>
      <c r="G67" s="5"/>
      <c r="H67" s="5"/>
      <c r="I67" s="5"/>
    </row>
    <row r="68" spans="1:9" ht="12.75">
      <c r="A68" s="6"/>
      <c r="B68" s="7" t="s">
        <v>201</v>
      </c>
      <c r="C68" s="9">
        <v>3738.17</v>
      </c>
      <c r="D68" s="8">
        <v>1000</v>
      </c>
      <c r="E68" s="8">
        <v>827.75</v>
      </c>
      <c r="F68" s="8">
        <f>SUM(D68-E68)</f>
        <v>172.25</v>
      </c>
      <c r="G68" s="8">
        <v>2000</v>
      </c>
      <c r="H68" s="8"/>
      <c r="I68" s="8">
        <f>SUM(G68:H68)</f>
        <v>2000</v>
      </c>
    </row>
    <row r="69" spans="1:9" ht="12.75">
      <c r="A69" s="6"/>
      <c r="B69" s="7" t="s">
        <v>202</v>
      </c>
      <c r="C69" s="42">
        <v>0</v>
      </c>
      <c r="D69" s="8">
        <v>300</v>
      </c>
      <c r="E69" s="8"/>
      <c r="F69" s="8">
        <f>SUM(D69-E69)</f>
        <v>300</v>
      </c>
      <c r="G69" s="8"/>
      <c r="H69" s="8"/>
      <c r="I69" s="8">
        <f>SUM(G69:H69)</f>
        <v>0</v>
      </c>
    </row>
    <row r="70" spans="1:9" ht="13.5" thickBot="1">
      <c r="A70" s="10"/>
      <c r="B70" s="11" t="s">
        <v>9</v>
      </c>
      <c r="C70" s="12">
        <f>SUM(C68:C69)</f>
        <v>3738.17</v>
      </c>
      <c r="D70" s="12">
        <f>SUM(D68:D69)</f>
        <v>1300</v>
      </c>
      <c r="E70" s="12">
        <f>SUM(E68:E69)</f>
        <v>827.75</v>
      </c>
      <c r="F70" s="12">
        <f>SUM(F68:F69)</f>
        <v>472.25</v>
      </c>
      <c r="G70" s="12">
        <f>SUM(G68:G68)</f>
        <v>2000</v>
      </c>
      <c r="H70" s="12">
        <f>SUM(H68:H69)</f>
        <v>0</v>
      </c>
      <c r="I70" s="12">
        <f>SUM(I68:I69)</f>
        <v>2000</v>
      </c>
    </row>
    <row r="71" spans="1:9" ht="14.25" thickBot="1" thickTop="1">
      <c r="A71" s="66" t="s">
        <v>71</v>
      </c>
      <c r="B71" s="67" t="s">
        <v>72</v>
      </c>
      <c r="C71" s="68">
        <f aca="true" t="shared" si="13" ref="C71:I71">C66+C70</f>
        <v>73712.51999999999</v>
      </c>
      <c r="D71" s="68">
        <f t="shared" si="13"/>
        <v>163840</v>
      </c>
      <c r="E71" s="68">
        <f t="shared" si="13"/>
        <v>55757.39</v>
      </c>
      <c r="F71" s="68">
        <f t="shared" si="13"/>
        <v>108082.60999999999</v>
      </c>
      <c r="G71" s="68">
        <f t="shared" si="13"/>
        <v>143244</v>
      </c>
      <c r="H71" s="68">
        <f t="shared" si="13"/>
        <v>0</v>
      </c>
      <c r="I71" s="68">
        <f t="shared" si="13"/>
        <v>143244</v>
      </c>
    </row>
    <row r="72" spans="1:9" ht="13.5" thickBot="1">
      <c r="A72" s="43" t="s">
        <v>73</v>
      </c>
      <c r="B72" s="52" t="s">
        <v>203</v>
      </c>
      <c r="C72" s="5"/>
      <c r="D72" s="5"/>
      <c r="E72" s="5"/>
      <c r="F72" s="5"/>
      <c r="G72" s="5"/>
      <c r="H72" s="5"/>
      <c r="I72" s="5"/>
    </row>
    <row r="73" spans="1:9" ht="12.75">
      <c r="A73" s="6"/>
      <c r="B73" s="7" t="s">
        <v>7</v>
      </c>
      <c r="C73" s="9">
        <v>75824.91</v>
      </c>
      <c r="D73" s="8">
        <v>72251</v>
      </c>
      <c r="E73" s="8">
        <f>57187.3+4716.21</f>
        <v>61903.51</v>
      </c>
      <c r="F73" s="8">
        <f aca="true" t="shared" si="14" ref="F73:F80">SUM(D73-E73)</f>
        <v>10347.489999999998</v>
      </c>
      <c r="G73" s="8">
        <v>78714</v>
      </c>
      <c r="H73" s="8"/>
      <c r="I73" s="8">
        <f aca="true" t="shared" si="15" ref="I73:I80">SUM(G73:H73)</f>
        <v>78714</v>
      </c>
    </row>
    <row r="74" spans="1:9" ht="12.75">
      <c r="A74" s="6"/>
      <c r="B74" s="7" t="s">
        <v>221</v>
      </c>
      <c r="C74" s="9">
        <v>0</v>
      </c>
      <c r="D74" s="8">
        <v>0</v>
      </c>
      <c r="E74" s="8"/>
      <c r="F74" s="8">
        <f t="shared" si="14"/>
        <v>0</v>
      </c>
      <c r="G74" s="8">
        <v>0</v>
      </c>
      <c r="H74" s="8"/>
      <c r="I74" s="8">
        <f t="shared" si="15"/>
        <v>0</v>
      </c>
    </row>
    <row r="75" spans="1:9" ht="12.75">
      <c r="A75" s="6"/>
      <c r="B75" s="7" t="s">
        <v>195</v>
      </c>
      <c r="C75" s="9">
        <v>9196</v>
      </c>
      <c r="D75" s="8">
        <v>7000</v>
      </c>
      <c r="E75" s="8">
        <f>7211.85+420</f>
        <v>7631.85</v>
      </c>
      <c r="F75" s="8">
        <f t="shared" si="14"/>
        <v>-631.8500000000004</v>
      </c>
      <c r="G75" s="8">
        <v>8420</v>
      </c>
      <c r="H75" s="8"/>
      <c r="I75" s="8">
        <f t="shared" si="15"/>
        <v>8420</v>
      </c>
    </row>
    <row r="76" spans="1:9" ht="13.5" thickBot="1">
      <c r="A76" s="54"/>
      <c r="B76" s="31" t="s">
        <v>204</v>
      </c>
      <c r="C76" s="55">
        <f aca="true" t="shared" si="16" ref="C76:I76">SUM(C73:C75)</f>
        <v>85020.91</v>
      </c>
      <c r="D76" s="55">
        <f t="shared" si="16"/>
        <v>79251</v>
      </c>
      <c r="E76" s="55">
        <f t="shared" si="16"/>
        <v>69535.36</v>
      </c>
      <c r="F76" s="55">
        <f t="shared" si="16"/>
        <v>9715.639999999998</v>
      </c>
      <c r="G76" s="55">
        <f t="shared" si="16"/>
        <v>87134</v>
      </c>
      <c r="H76" s="55">
        <f t="shared" si="16"/>
        <v>0</v>
      </c>
      <c r="I76" s="55">
        <f t="shared" si="16"/>
        <v>87134</v>
      </c>
    </row>
    <row r="77" spans="1:9" ht="13.5" thickTop="1">
      <c r="A77" s="6"/>
      <c r="B77" s="7" t="s">
        <v>205</v>
      </c>
      <c r="C77" s="9">
        <v>41592.95</v>
      </c>
      <c r="D77" s="8">
        <v>50000</v>
      </c>
      <c r="E77" s="8">
        <v>32402.33</v>
      </c>
      <c r="F77" s="8">
        <f t="shared" si="14"/>
        <v>17597.67</v>
      </c>
      <c r="G77" s="8">
        <v>50000</v>
      </c>
      <c r="H77" s="8"/>
      <c r="I77" s="8">
        <f t="shared" si="15"/>
        <v>50000</v>
      </c>
    </row>
    <row r="78" spans="1:9" ht="12.75">
      <c r="A78" s="6"/>
      <c r="B78" s="7" t="s">
        <v>206</v>
      </c>
      <c r="C78" s="9">
        <v>0</v>
      </c>
      <c r="D78" s="8">
        <v>0</v>
      </c>
      <c r="E78" s="8"/>
      <c r="F78" s="8">
        <f t="shared" si="14"/>
        <v>0</v>
      </c>
      <c r="G78" s="8">
        <v>0</v>
      </c>
      <c r="H78" s="8"/>
      <c r="I78" s="8">
        <f t="shared" si="15"/>
        <v>0</v>
      </c>
    </row>
    <row r="79" spans="1:9" ht="12.75">
      <c r="A79" s="6"/>
      <c r="B79" s="7" t="s">
        <v>207</v>
      </c>
      <c r="C79" s="9">
        <v>25520.48</v>
      </c>
      <c r="D79" s="8">
        <v>12000</v>
      </c>
      <c r="E79" s="8">
        <v>11224.86</v>
      </c>
      <c r="F79" s="8">
        <f t="shared" si="14"/>
        <v>775.1399999999994</v>
      </c>
      <c r="G79" s="8">
        <v>12000</v>
      </c>
      <c r="H79" s="8"/>
      <c r="I79" s="8">
        <f t="shared" si="15"/>
        <v>12000</v>
      </c>
    </row>
    <row r="80" spans="1:9" ht="12.75">
      <c r="A80" s="6"/>
      <c r="B80" s="7" t="s">
        <v>209</v>
      </c>
      <c r="C80" s="9">
        <v>7966.49</v>
      </c>
      <c r="D80" s="8">
        <v>4000</v>
      </c>
      <c r="E80" s="8">
        <v>3642.97</v>
      </c>
      <c r="F80" s="8">
        <f t="shared" si="14"/>
        <v>357.0300000000002</v>
      </c>
      <c r="G80" s="8">
        <v>4000</v>
      </c>
      <c r="H80" s="8"/>
      <c r="I80" s="8">
        <f t="shared" si="15"/>
        <v>4000</v>
      </c>
    </row>
    <row r="81" spans="1:9" ht="13.5" thickBot="1">
      <c r="A81" s="54"/>
      <c r="B81" s="11" t="s">
        <v>210</v>
      </c>
      <c r="C81" s="12">
        <f aca="true" t="shared" si="17" ref="C81:I81">SUM(C77:C80)</f>
        <v>75079.92</v>
      </c>
      <c r="D81" s="12">
        <f t="shared" si="17"/>
        <v>66000</v>
      </c>
      <c r="E81" s="12">
        <f t="shared" si="17"/>
        <v>47270.16</v>
      </c>
      <c r="F81" s="12">
        <f t="shared" si="17"/>
        <v>18729.839999999997</v>
      </c>
      <c r="G81" s="12">
        <f t="shared" si="17"/>
        <v>66000</v>
      </c>
      <c r="H81" s="12">
        <f t="shared" si="17"/>
        <v>0</v>
      </c>
      <c r="I81" s="12">
        <f t="shared" si="17"/>
        <v>66000</v>
      </c>
    </row>
    <row r="82" spans="1:9" ht="14.25" thickBot="1" thickTop="1">
      <c r="A82" s="33" t="s">
        <v>73</v>
      </c>
      <c r="B82" s="34" t="s">
        <v>75</v>
      </c>
      <c r="C82" s="69">
        <f aca="true" t="shared" si="18" ref="C82:I82">C81+C76</f>
        <v>160100.83000000002</v>
      </c>
      <c r="D82" s="69">
        <f t="shared" si="18"/>
        <v>145251</v>
      </c>
      <c r="E82" s="69">
        <f t="shared" si="18"/>
        <v>116805.52</v>
      </c>
      <c r="F82" s="69">
        <f t="shared" si="18"/>
        <v>28445.479999999996</v>
      </c>
      <c r="G82" s="69">
        <f t="shared" si="18"/>
        <v>153134</v>
      </c>
      <c r="H82" s="69">
        <f t="shared" si="18"/>
        <v>0</v>
      </c>
      <c r="I82" s="69">
        <f t="shared" si="18"/>
        <v>153134</v>
      </c>
    </row>
    <row r="83" spans="1:9" ht="13.5" thickTop="1">
      <c r="A83" s="6"/>
      <c r="B83" s="7"/>
      <c r="C83" s="9"/>
      <c r="D83" s="8"/>
      <c r="E83" s="8"/>
      <c r="F83" s="8"/>
      <c r="G83" s="8"/>
      <c r="H83" s="8"/>
      <c r="I83" s="8"/>
    </row>
    <row r="84" spans="1:9" ht="13.5" thickBot="1">
      <c r="A84" s="121"/>
      <c r="B84" s="122"/>
      <c r="C84" s="56">
        <v>0</v>
      </c>
      <c r="D84" s="56">
        <v>0</v>
      </c>
      <c r="E84" s="56"/>
      <c r="F84" s="56"/>
      <c r="G84" s="56"/>
      <c r="H84" s="56"/>
      <c r="I84" s="56"/>
    </row>
    <row r="85" spans="1:9" ht="13.5" thickTop="1">
      <c r="A85" s="6"/>
      <c r="B85" s="57"/>
      <c r="C85" s="9"/>
      <c r="D85" s="8"/>
      <c r="E85" s="8"/>
      <c r="F85" s="8"/>
      <c r="G85" s="8"/>
      <c r="H85" s="8"/>
      <c r="I85" s="8"/>
    </row>
    <row r="86" spans="1:9" ht="13.5" thickBot="1">
      <c r="A86" s="117" t="s">
        <v>100</v>
      </c>
      <c r="B86" s="118"/>
      <c r="C86" s="58">
        <f aca="true" t="shared" si="19" ref="C86:I86">C59+C71+C82+C84</f>
        <v>1887436.7400000002</v>
      </c>
      <c r="D86" s="58">
        <f t="shared" si="19"/>
        <v>1930378</v>
      </c>
      <c r="E86" s="58">
        <f t="shared" si="19"/>
        <v>1416617.6800000002</v>
      </c>
      <c r="F86" s="58">
        <f t="shared" si="19"/>
        <v>513760.31999999995</v>
      </c>
      <c r="G86" s="58">
        <f t="shared" si="19"/>
        <v>2188890</v>
      </c>
      <c r="H86" s="58">
        <f t="shared" si="19"/>
        <v>118867</v>
      </c>
      <c r="I86" s="58">
        <f t="shared" si="19"/>
        <v>2307757</v>
      </c>
    </row>
    <row r="87" spans="1:7" ht="12.75">
      <c r="A87" s="59"/>
      <c r="B87" s="7"/>
      <c r="C87" s="60"/>
      <c r="D87" s="60"/>
      <c r="E87" s="60"/>
      <c r="F87" s="60"/>
      <c r="G87" s="60"/>
    </row>
    <row r="88" spans="1:7" ht="12.75">
      <c r="A88" s="59"/>
      <c r="B88" s="70"/>
      <c r="C88" s="60"/>
      <c r="D88" s="60"/>
      <c r="E88" s="60"/>
      <c r="F88" s="60"/>
      <c r="G88" s="71"/>
    </row>
  </sheetData>
  <mergeCells count="11">
    <mergeCell ref="H3:H4"/>
    <mergeCell ref="I3:I4"/>
    <mergeCell ref="A84:B84"/>
    <mergeCell ref="A86:B86"/>
    <mergeCell ref="A1:I2"/>
    <mergeCell ref="A3:B5"/>
    <mergeCell ref="C3:C4"/>
    <mergeCell ref="D3:D4"/>
    <mergeCell ref="E3:E4"/>
    <mergeCell ref="F3:F4"/>
    <mergeCell ref="G3:G4"/>
  </mergeCells>
  <printOptions gridLines="1"/>
  <pageMargins left="0.43" right="0.29" top="1" bottom="1" header="0.5" footer="0.5"/>
  <pageSetup horizontalDpi="150" verticalDpi="15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selection activeCell="A1" sqref="A1:I2"/>
    </sheetView>
  </sheetViews>
  <sheetFormatPr defaultColWidth="9.140625" defaultRowHeight="12.75"/>
  <cols>
    <col min="1" max="1" width="5.57421875" style="0" bestFit="1" customWidth="1"/>
    <col min="2" max="2" width="36.00390625" style="0" bestFit="1" customWidth="1"/>
    <col min="3" max="9" width="13.7109375" style="0" customWidth="1"/>
  </cols>
  <sheetData>
    <row r="1" spans="1:9" ht="12.75">
      <c r="A1" s="102" t="s">
        <v>227</v>
      </c>
      <c r="B1" s="103"/>
      <c r="C1" s="103"/>
      <c r="D1" s="103"/>
      <c r="E1" s="103"/>
      <c r="F1" s="103"/>
      <c r="G1" s="103"/>
      <c r="H1" s="103"/>
      <c r="I1" s="104"/>
    </row>
    <row r="2" spans="1:9" ht="13.5" thickBot="1">
      <c r="A2" s="105"/>
      <c r="B2" s="106"/>
      <c r="C2" s="106"/>
      <c r="D2" s="106"/>
      <c r="E2" s="106"/>
      <c r="F2" s="106"/>
      <c r="G2" s="106"/>
      <c r="H2" s="106"/>
      <c r="I2" s="107"/>
    </row>
    <row r="3" spans="1:9" ht="12.75">
      <c r="A3" s="109" t="s">
        <v>228</v>
      </c>
      <c r="B3" s="110"/>
      <c r="C3" s="119" t="s">
        <v>0</v>
      </c>
      <c r="D3" s="115"/>
      <c r="E3" s="119" t="s">
        <v>1</v>
      </c>
      <c r="F3" s="115"/>
      <c r="G3" s="115"/>
      <c r="H3" s="115" t="s">
        <v>2</v>
      </c>
      <c r="I3" s="115"/>
    </row>
    <row r="4" spans="1:9" ht="12.75">
      <c r="A4" s="111"/>
      <c r="B4" s="112"/>
      <c r="C4" s="120"/>
      <c r="D4" s="116"/>
      <c r="E4" s="120"/>
      <c r="F4" s="116"/>
      <c r="G4" s="116"/>
      <c r="H4" s="116"/>
      <c r="I4" s="116"/>
    </row>
    <row r="5" spans="1:9" ht="13.5" thickBot="1">
      <c r="A5" s="111"/>
      <c r="B5" s="112"/>
      <c r="C5" s="2" t="s">
        <v>3</v>
      </c>
      <c r="D5" s="2" t="s">
        <v>139</v>
      </c>
      <c r="E5" s="2" t="s">
        <v>3</v>
      </c>
      <c r="F5" s="2" t="s">
        <v>213</v>
      </c>
      <c r="G5" s="2" t="s">
        <v>160</v>
      </c>
      <c r="H5" s="2" t="s">
        <v>144</v>
      </c>
      <c r="I5" s="2" t="s">
        <v>160</v>
      </c>
    </row>
    <row r="6" spans="1:9" ht="13.5" thickBot="1">
      <c r="A6" s="3" t="s">
        <v>161</v>
      </c>
      <c r="B6" s="4" t="s">
        <v>162</v>
      </c>
      <c r="C6" s="5"/>
      <c r="D6" s="5"/>
      <c r="E6" s="5"/>
      <c r="F6" s="5"/>
      <c r="G6" s="5"/>
      <c r="H6" s="5"/>
      <c r="I6" s="5"/>
    </row>
    <row r="7" spans="1:9" ht="12.75">
      <c r="A7" s="6"/>
      <c r="B7" s="7" t="s">
        <v>229</v>
      </c>
      <c r="C7" s="9">
        <v>156839.56</v>
      </c>
      <c r="D7" s="8">
        <v>100000</v>
      </c>
      <c r="E7" s="8">
        <v>140042.65</v>
      </c>
      <c r="F7" s="8">
        <f aca="true" t="shared" si="0" ref="F7:F12">SUM(D7-E7)</f>
        <v>-40042.649999999994</v>
      </c>
      <c r="G7" s="8">
        <v>101000</v>
      </c>
      <c r="H7" s="8"/>
      <c r="I7" s="8">
        <f aca="true" t="shared" si="1" ref="I7:I12">SUM(G7:H7)</f>
        <v>101000</v>
      </c>
    </row>
    <row r="8" spans="1:9" ht="12.75">
      <c r="A8" s="6"/>
      <c r="B8" s="7" t="s">
        <v>230</v>
      </c>
      <c r="C8" s="9"/>
      <c r="D8" s="8">
        <v>68000</v>
      </c>
      <c r="E8" s="8"/>
      <c r="F8" s="8">
        <f t="shared" si="0"/>
        <v>68000</v>
      </c>
      <c r="G8" s="8">
        <v>71000</v>
      </c>
      <c r="H8" s="8"/>
      <c r="I8" s="8">
        <f t="shared" si="1"/>
        <v>71000</v>
      </c>
    </row>
    <row r="9" spans="1:9" ht="12.75">
      <c r="A9" s="6"/>
      <c r="B9" s="7" t="s">
        <v>163</v>
      </c>
      <c r="C9" s="9">
        <v>69586.62</v>
      </c>
      <c r="D9" s="8">
        <v>72459</v>
      </c>
      <c r="E9" s="8">
        <v>59206.5</v>
      </c>
      <c r="F9" s="8">
        <f t="shared" si="0"/>
        <v>13252.5</v>
      </c>
      <c r="G9" s="8">
        <v>73959</v>
      </c>
      <c r="H9" s="8"/>
      <c r="I9" s="8">
        <f t="shared" si="1"/>
        <v>73959</v>
      </c>
    </row>
    <row r="10" spans="1:9" ht="12.75">
      <c r="A10" s="6"/>
      <c r="B10" s="7" t="s">
        <v>164</v>
      </c>
      <c r="C10" s="9">
        <v>13116.34</v>
      </c>
      <c r="D10" s="8">
        <v>7334</v>
      </c>
      <c r="E10" s="8">
        <v>5559.33</v>
      </c>
      <c r="F10" s="8">
        <f t="shared" si="0"/>
        <v>1774.67</v>
      </c>
      <c r="G10" s="8"/>
      <c r="H10" s="8"/>
      <c r="I10" s="8">
        <f t="shared" si="1"/>
        <v>0</v>
      </c>
    </row>
    <row r="11" spans="1:9" ht="12.75">
      <c r="A11" s="6"/>
      <c r="B11" s="7" t="s">
        <v>165</v>
      </c>
      <c r="C11" s="9">
        <v>4106.28</v>
      </c>
      <c r="D11" s="8">
        <f>3500+6000</f>
        <v>9500</v>
      </c>
      <c r="E11" s="8">
        <v>5628.47</v>
      </c>
      <c r="F11" s="8">
        <f t="shared" si="0"/>
        <v>3871.5299999999997</v>
      </c>
      <c r="G11" s="8">
        <v>4332</v>
      </c>
      <c r="H11" s="8"/>
      <c r="I11" s="8">
        <f t="shared" si="1"/>
        <v>4332</v>
      </c>
    </row>
    <row r="12" spans="1:9" ht="12.75">
      <c r="A12" s="6"/>
      <c r="B12" s="7" t="s">
        <v>167</v>
      </c>
      <c r="C12" s="9">
        <v>5484.12</v>
      </c>
      <c r="D12" s="8">
        <v>5842</v>
      </c>
      <c r="E12" s="8">
        <v>5059.12</v>
      </c>
      <c r="F12" s="8">
        <f t="shared" si="0"/>
        <v>782.8800000000001</v>
      </c>
      <c r="G12" s="8">
        <v>7482</v>
      </c>
      <c r="H12" s="8"/>
      <c r="I12" s="8">
        <f t="shared" si="1"/>
        <v>7482</v>
      </c>
    </row>
    <row r="13" spans="1:9" s="73" customFormat="1" ht="13.5" thickBot="1">
      <c r="A13" s="18"/>
      <c r="B13" s="11" t="s">
        <v>9</v>
      </c>
      <c r="C13" s="72">
        <f aca="true" t="shared" si="2" ref="C13:I13">SUM(C7:C12)</f>
        <v>249132.91999999998</v>
      </c>
      <c r="D13" s="72">
        <f t="shared" si="2"/>
        <v>263135</v>
      </c>
      <c r="E13" s="72">
        <f t="shared" si="2"/>
        <v>215496.06999999998</v>
      </c>
      <c r="F13" s="72">
        <f t="shared" si="2"/>
        <v>47638.93</v>
      </c>
      <c r="G13" s="72">
        <f t="shared" si="2"/>
        <v>257773</v>
      </c>
      <c r="H13" s="72">
        <f t="shared" si="2"/>
        <v>0</v>
      </c>
      <c r="I13" s="72">
        <f t="shared" si="2"/>
        <v>257773</v>
      </c>
    </row>
    <row r="14" spans="1:9" ht="13.5" thickBot="1">
      <c r="A14" s="3" t="s">
        <v>168</v>
      </c>
      <c r="B14" s="4" t="s">
        <v>169</v>
      </c>
      <c r="C14" s="5"/>
      <c r="D14" s="5"/>
      <c r="E14" s="5"/>
      <c r="F14" s="5"/>
      <c r="G14" s="5"/>
      <c r="H14" s="5"/>
      <c r="I14" s="5"/>
    </row>
    <row r="15" spans="1:9" ht="12.75">
      <c r="A15" s="6"/>
      <c r="B15" s="13" t="s">
        <v>170</v>
      </c>
      <c r="C15" s="15">
        <v>90279</v>
      </c>
      <c r="D15" s="14">
        <v>98515</v>
      </c>
      <c r="E15" s="14">
        <v>75647.6</v>
      </c>
      <c r="F15" s="8">
        <f aca="true" t="shared" si="3" ref="F15:F29">SUM(D15-E15)</f>
        <v>22867.399999999994</v>
      </c>
      <c r="G15" s="14">
        <v>106162</v>
      </c>
      <c r="H15" s="14"/>
      <c r="I15" s="8">
        <f aca="true" t="shared" si="4" ref="I15:I29">SUM(G15:H15)</f>
        <v>106162</v>
      </c>
    </row>
    <row r="16" spans="1:9" ht="12.75">
      <c r="A16" s="6"/>
      <c r="B16" s="13" t="s">
        <v>231</v>
      </c>
      <c r="C16" s="15">
        <v>124670.07</v>
      </c>
      <c r="D16" s="14">
        <v>128909</v>
      </c>
      <c r="E16" s="14">
        <v>99212.16</v>
      </c>
      <c r="F16" s="8">
        <f t="shared" si="3"/>
        <v>29696.839999999997</v>
      </c>
      <c r="G16" s="14">
        <v>133696</v>
      </c>
      <c r="H16" s="14">
        <v>-43556</v>
      </c>
      <c r="I16" s="8">
        <f t="shared" si="4"/>
        <v>90140</v>
      </c>
    </row>
    <row r="17" spans="1:9" ht="12.75">
      <c r="A17" s="6"/>
      <c r="B17" s="13" t="s">
        <v>232</v>
      </c>
      <c r="C17" s="15">
        <v>70681.08</v>
      </c>
      <c r="D17" s="14">
        <v>69063</v>
      </c>
      <c r="E17" s="14">
        <v>58150.8</v>
      </c>
      <c r="F17" s="8">
        <f t="shared" si="3"/>
        <v>10912.199999999997</v>
      </c>
      <c r="G17" s="14">
        <v>71968</v>
      </c>
      <c r="H17" s="14"/>
      <c r="I17" s="8">
        <f t="shared" si="4"/>
        <v>71968</v>
      </c>
    </row>
    <row r="18" spans="1:9" ht="12.75">
      <c r="A18" s="6"/>
      <c r="B18" s="13" t="s">
        <v>233</v>
      </c>
      <c r="C18" s="15">
        <v>301301.65</v>
      </c>
      <c r="D18" s="14">
        <v>311412</v>
      </c>
      <c r="E18" s="14">
        <v>274770.17</v>
      </c>
      <c r="F18" s="8">
        <f t="shared" si="3"/>
        <v>36641.830000000016</v>
      </c>
      <c r="G18" s="14">
        <v>302316</v>
      </c>
      <c r="H18" s="14"/>
      <c r="I18" s="8">
        <f t="shared" si="4"/>
        <v>302316</v>
      </c>
    </row>
    <row r="19" spans="1:9" ht="12.75">
      <c r="A19" s="6"/>
      <c r="B19" s="13" t="s">
        <v>234</v>
      </c>
      <c r="C19" s="15">
        <v>260346.32</v>
      </c>
      <c r="D19" s="14">
        <v>264774</v>
      </c>
      <c r="E19" s="14">
        <v>209197.71</v>
      </c>
      <c r="F19" s="8">
        <f t="shared" si="3"/>
        <v>55576.29000000001</v>
      </c>
      <c r="G19" s="14">
        <v>281348</v>
      </c>
      <c r="H19" s="14"/>
      <c r="I19" s="8">
        <f t="shared" si="4"/>
        <v>281348</v>
      </c>
    </row>
    <row r="20" spans="1:9" ht="12.75">
      <c r="A20" s="6"/>
      <c r="B20" s="13" t="s">
        <v>235</v>
      </c>
      <c r="C20" s="15">
        <v>220719.37</v>
      </c>
      <c r="D20" s="14">
        <v>228846</v>
      </c>
      <c r="E20" s="14">
        <v>228580.7</v>
      </c>
      <c r="F20" s="8">
        <f t="shared" si="3"/>
        <v>265.29999999998836</v>
      </c>
      <c r="G20" s="14">
        <v>218347</v>
      </c>
      <c r="H20" s="14"/>
      <c r="I20" s="8">
        <f t="shared" si="4"/>
        <v>218347</v>
      </c>
    </row>
    <row r="21" spans="1:9" ht="12.75">
      <c r="A21" s="6"/>
      <c r="B21" s="13" t="s">
        <v>236</v>
      </c>
      <c r="C21" s="15">
        <v>215998.44</v>
      </c>
      <c r="D21" s="14">
        <v>223239</v>
      </c>
      <c r="E21" s="14">
        <v>212773.44</v>
      </c>
      <c r="F21" s="8">
        <f t="shared" si="3"/>
        <v>10465.559999999998</v>
      </c>
      <c r="G21" s="14">
        <v>246516</v>
      </c>
      <c r="H21" s="14"/>
      <c r="I21" s="8">
        <f t="shared" si="4"/>
        <v>246516</v>
      </c>
    </row>
    <row r="22" spans="1:9" ht="12.75">
      <c r="A22" s="6"/>
      <c r="B22" s="13" t="s">
        <v>237</v>
      </c>
      <c r="C22" s="15">
        <v>207609.59</v>
      </c>
      <c r="D22" s="14">
        <v>218671</v>
      </c>
      <c r="E22" s="14">
        <v>223700.72</v>
      </c>
      <c r="F22" s="8">
        <f t="shared" si="3"/>
        <v>-5029.720000000001</v>
      </c>
      <c r="G22" s="14">
        <v>236589</v>
      </c>
      <c r="H22" s="14"/>
      <c r="I22" s="8">
        <f t="shared" si="4"/>
        <v>236589</v>
      </c>
    </row>
    <row r="23" spans="1:9" ht="12.75">
      <c r="A23" s="6"/>
      <c r="B23" s="13" t="s">
        <v>238</v>
      </c>
      <c r="C23" s="15">
        <v>451865.89</v>
      </c>
      <c r="D23" s="14">
        <v>363339</v>
      </c>
      <c r="E23" s="14">
        <v>179215.39</v>
      </c>
      <c r="F23" s="8">
        <f t="shared" si="3"/>
        <v>184123.61</v>
      </c>
      <c r="G23" s="14">
        <v>497485</v>
      </c>
      <c r="H23" s="14"/>
      <c r="I23" s="8">
        <f t="shared" si="4"/>
        <v>497485</v>
      </c>
    </row>
    <row r="24" spans="1:9" ht="12.75">
      <c r="A24" s="6"/>
      <c r="B24" s="13" t="s">
        <v>239</v>
      </c>
      <c r="C24" s="15">
        <v>67066.02</v>
      </c>
      <c r="D24" s="14">
        <v>116618</v>
      </c>
      <c r="E24" s="14">
        <v>77450.84</v>
      </c>
      <c r="F24" s="8">
        <f t="shared" si="3"/>
        <v>39167.16</v>
      </c>
      <c r="G24" s="14">
        <v>112486</v>
      </c>
      <c r="H24" s="14"/>
      <c r="I24" s="8">
        <f t="shared" si="4"/>
        <v>112486</v>
      </c>
    </row>
    <row r="25" spans="1:9" ht="12.75">
      <c r="A25" s="6"/>
      <c r="B25" s="7" t="s">
        <v>173</v>
      </c>
      <c r="C25" s="9">
        <v>69595.39</v>
      </c>
      <c r="D25" s="8">
        <v>69063</v>
      </c>
      <c r="E25" s="8">
        <v>55912.72</v>
      </c>
      <c r="F25" s="8">
        <f t="shared" si="3"/>
        <v>13150.279999999999</v>
      </c>
      <c r="G25" s="8">
        <v>75483</v>
      </c>
      <c r="H25" s="8"/>
      <c r="I25" s="8">
        <f t="shared" si="4"/>
        <v>75483</v>
      </c>
    </row>
    <row r="26" spans="1:9" ht="12.75">
      <c r="A26" s="6"/>
      <c r="B26" s="7" t="s">
        <v>303</v>
      </c>
      <c r="C26" s="9"/>
      <c r="D26" s="8"/>
      <c r="E26" s="8"/>
      <c r="F26" s="8"/>
      <c r="G26" s="8"/>
      <c r="H26" s="8">
        <v>131870</v>
      </c>
      <c r="I26" s="8">
        <f>SUM(G26:H26)</f>
        <v>131870</v>
      </c>
    </row>
    <row r="27" spans="1:9" ht="12.75">
      <c r="A27" s="6"/>
      <c r="B27" s="7" t="s">
        <v>174</v>
      </c>
      <c r="C27" s="9">
        <v>10305</v>
      </c>
      <c r="D27" s="17">
        <v>8400</v>
      </c>
      <c r="E27" s="17">
        <v>8400</v>
      </c>
      <c r="F27" s="8">
        <f t="shared" si="3"/>
        <v>0</v>
      </c>
      <c r="G27" s="17">
        <v>0</v>
      </c>
      <c r="H27" s="17"/>
      <c r="I27" s="8">
        <f t="shared" si="4"/>
        <v>0</v>
      </c>
    </row>
    <row r="28" spans="1:9" ht="12.75">
      <c r="A28" s="6"/>
      <c r="B28" s="7" t="s">
        <v>240</v>
      </c>
      <c r="C28" s="9"/>
      <c r="D28" s="17">
        <v>-48868</v>
      </c>
      <c r="E28" s="17"/>
      <c r="F28" s="8">
        <f t="shared" si="3"/>
        <v>-48868</v>
      </c>
      <c r="G28" s="17">
        <v>-49000</v>
      </c>
      <c r="H28" s="17"/>
      <c r="I28" s="8">
        <f t="shared" si="4"/>
        <v>-49000</v>
      </c>
    </row>
    <row r="29" spans="1:9" ht="12.75">
      <c r="A29" s="6"/>
      <c r="B29" s="7" t="s">
        <v>241</v>
      </c>
      <c r="C29" s="9">
        <v>0</v>
      </c>
      <c r="D29" s="17">
        <v>10589</v>
      </c>
      <c r="E29" s="17">
        <v>10588.8</v>
      </c>
      <c r="F29" s="8">
        <f t="shared" si="3"/>
        <v>0.2000000000007276</v>
      </c>
      <c r="G29" s="17">
        <v>26245</v>
      </c>
      <c r="H29" s="17"/>
      <c r="I29" s="8">
        <f t="shared" si="4"/>
        <v>26245</v>
      </c>
    </row>
    <row r="30" spans="1:9" s="73" customFormat="1" ht="13.5" thickBot="1">
      <c r="A30" s="18"/>
      <c r="B30" s="11" t="s">
        <v>9</v>
      </c>
      <c r="C30" s="72">
        <f aca="true" t="shared" si="5" ref="C30:I30">SUM(C15:C29)</f>
        <v>2090437.82</v>
      </c>
      <c r="D30" s="72">
        <f t="shared" si="5"/>
        <v>2062570</v>
      </c>
      <c r="E30" s="72">
        <f t="shared" si="5"/>
        <v>1713601.05</v>
      </c>
      <c r="F30" s="72">
        <f t="shared" si="5"/>
        <v>348968.95</v>
      </c>
      <c r="G30" s="72">
        <f t="shared" si="5"/>
        <v>2259641</v>
      </c>
      <c r="H30" s="72">
        <f t="shared" si="5"/>
        <v>88314</v>
      </c>
      <c r="I30" s="72">
        <f t="shared" si="5"/>
        <v>2347955</v>
      </c>
    </row>
    <row r="31" spans="1:9" ht="13.5" thickBot="1">
      <c r="A31" s="3" t="s">
        <v>38</v>
      </c>
      <c r="B31" s="65" t="s">
        <v>176</v>
      </c>
      <c r="C31" s="5"/>
      <c r="D31" s="5"/>
      <c r="E31" s="5"/>
      <c r="F31" s="5"/>
      <c r="G31" s="5"/>
      <c r="H31" s="5"/>
      <c r="I31" s="5"/>
    </row>
    <row r="32" spans="1:9" ht="12.75">
      <c r="A32" s="6"/>
      <c r="B32" s="13" t="s">
        <v>177</v>
      </c>
      <c r="C32" s="15">
        <v>372972.12</v>
      </c>
      <c r="D32" s="14">
        <v>398289</v>
      </c>
      <c r="E32" s="14">
        <v>236405.51</v>
      </c>
      <c r="F32" s="8">
        <f>SUM(D32-E32)</f>
        <v>161883.49</v>
      </c>
      <c r="G32" s="14">
        <v>346578</v>
      </c>
      <c r="H32" s="14">
        <v>-24131</v>
      </c>
      <c r="I32" s="8">
        <f>SUM(G32:H32)</f>
        <v>322447</v>
      </c>
    </row>
    <row r="33" spans="1:9" ht="12.75">
      <c r="A33" s="6"/>
      <c r="B33" s="13" t="s">
        <v>242</v>
      </c>
      <c r="C33" s="74">
        <v>0</v>
      </c>
      <c r="D33" s="14"/>
      <c r="E33" s="14"/>
      <c r="F33" s="8">
        <f>SUM(D33-E33)</f>
        <v>0</v>
      </c>
      <c r="G33" s="14">
        <v>28854</v>
      </c>
      <c r="H33" s="14"/>
      <c r="I33" s="8">
        <f>SUM(G33:H33)</f>
        <v>28854</v>
      </c>
    </row>
    <row r="34" spans="1:9" ht="12.75">
      <c r="A34" s="6"/>
      <c r="B34" s="13" t="s">
        <v>217</v>
      </c>
      <c r="C34" s="74">
        <v>0</v>
      </c>
      <c r="D34" s="14"/>
      <c r="E34" s="14"/>
      <c r="F34" s="8">
        <f>SUM(D34-E34)</f>
        <v>0</v>
      </c>
      <c r="G34" s="14">
        <v>13240</v>
      </c>
      <c r="H34" s="14"/>
      <c r="I34" s="8">
        <f>SUM(G34:H34)</f>
        <v>13240</v>
      </c>
    </row>
    <row r="35" spans="1:9" ht="12.75">
      <c r="A35" s="76"/>
      <c r="B35" s="75" t="s">
        <v>180</v>
      </c>
      <c r="C35" s="77">
        <v>0</v>
      </c>
      <c r="D35" s="78">
        <v>0</v>
      </c>
      <c r="E35" s="78"/>
      <c r="F35" s="8">
        <f>SUM(D35-E35)</f>
        <v>0</v>
      </c>
      <c r="G35" s="78">
        <v>0</v>
      </c>
      <c r="H35" s="78"/>
      <c r="I35" s="8">
        <f>SUM(G35:H35)</f>
        <v>0</v>
      </c>
    </row>
    <row r="36" spans="1:9" s="73" customFormat="1" ht="13.5" thickBot="1">
      <c r="A36" s="6"/>
      <c r="B36" s="37" t="s">
        <v>9</v>
      </c>
      <c r="C36" s="79">
        <f aca="true" t="shared" si="6" ref="C36:I36">SUM(C32:C35)</f>
        <v>372972.12</v>
      </c>
      <c r="D36" s="79">
        <f t="shared" si="6"/>
        <v>398289</v>
      </c>
      <c r="E36" s="79">
        <f t="shared" si="6"/>
        <v>236405.51</v>
      </c>
      <c r="F36" s="79">
        <f t="shared" si="6"/>
        <v>161883.49</v>
      </c>
      <c r="G36" s="79">
        <f t="shared" si="6"/>
        <v>388672</v>
      </c>
      <c r="H36" s="79">
        <f t="shared" si="6"/>
        <v>-24131</v>
      </c>
      <c r="I36" s="79">
        <f t="shared" si="6"/>
        <v>364541</v>
      </c>
    </row>
    <row r="37" spans="1:9" ht="13.5" thickBot="1">
      <c r="A37" s="3" t="s">
        <v>48</v>
      </c>
      <c r="B37" s="4" t="s">
        <v>181</v>
      </c>
      <c r="C37" s="5"/>
      <c r="D37" s="5"/>
      <c r="E37" s="5"/>
      <c r="F37" s="5"/>
      <c r="G37" s="5"/>
      <c r="H37" s="5"/>
      <c r="I37" s="5"/>
    </row>
    <row r="38" spans="1:9" ht="12.75">
      <c r="A38" s="6"/>
      <c r="B38" s="13" t="s">
        <v>182</v>
      </c>
      <c r="C38" s="15">
        <v>92506.76</v>
      </c>
      <c r="D38" s="14">
        <v>154454</v>
      </c>
      <c r="E38" s="14">
        <v>57997.56</v>
      </c>
      <c r="F38" s="8">
        <f>SUM(D38-E38)</f>
        <v>96456.44</v>
      </c>
      <c r="G38" s="14">
        <v>154454</v>
      </c>
      <c r="H38" s="14"/>
      <c r="I38" s="8">
        <f>SUM(G38:H38)</f>
        <v>154454</v>
      </c>
    </row>
    <row r="39" spans="1:9" s="73" customFormat="1" ht="13.5" thickBot="1">
      <c r="A39" s="10"/>
      <c r="B39" s="11" t="s">
        <v>9</v>
      </c>
      <c r="C39" s="72">
        <f aca="true" t="shared" si="7" ref="C39:I39">SUM(C38)</f>
        <v>92506.76</v>
      </c>
      <c r="D39" s="72">
        <f t="shared" si="7"/>
        <v>154454</v>
      </c>
      <c r="E39" s="72">
        <f t="shared" si="7"/>
        <v>57997.56</v>
      </c>
      <c r="F39" s="72">
        <f t="shared" si="7"/>
        <v>96456.44</v>
      </c>
      <c r="G39" s="72">
        <f t="shared" si="7"/>
        <v>154454</v>
      </c>
      <c r="H39" s="72">
        <f t="shared" si="7"/>
        <v>0</v>
      </c>
      <c r="I39" s="72">
        <f t="shared" si="7"/>
        <v>154454</v>
      </c>
    </row>
    <row r="40" spans="1:9" ht="13.5" thickBot="1">
      <c r="A40" s="3" t="s">
        <v>49</v>
      </c>
      <c r="B40" s="4" t="s">
        <v>183</v>
      </c>
      <c r="C40" s="5"/>
      <c r="D40" s="5"/>
      <c r="E40" s="5"/>
      <c r="F40" s="5"/>
      <c r="G40" s="5"/>
      <c r="H40" s="5"/>
      <c r="I40" s="5"/>
    </row>
    <row r="41" spans="1:9" ht="12.75">
      <c r="A41" s="6"/>
      <c r="B41" s="13" t="s">
        <v>184</v>
      </c>
      <c r="C41" s="15">
        <v>136121.94</v>
      </c>
      <c r="D41" s="14">
        <v>140193</v>
      </c>
      <c r="E41" s="14">
        <v>125611.25</v>
      </c>
      <c r="F41" s="8">
        <f>SUM(D41-E41)</f>
        <v>14581.75</v>
      </c>
      <c r="G41" s="14">
        <v>154464</v>
      </c>
      <c r="H41" s="14">
        <v>-102852</v>
      </c>
      <c r="I41" s="8">
        <f>SUM(G41:H41)</f>
        <v>51612</v>
      </c>
    </row>
    <row r="42" spans="1:9" ht="12.75">
      <c r="A42" s="6"/>
      <c r="B42" s="13" t="s">
        <v>185</v>
      </c>
      <c r="C42" s="15">
        <v>0</v>
      </c>
      <c r="D42" s="14">
        <v>0</v>
      </c>
      <c r="E42" s="14">
        <v>0</v>
      </c>
      <c r="F42" s="8">
        <f>SUM(D42-E42)</f>
        <v>0</v>
      </c>
      <c r="G42" s="14">
        <v>0</v>
      </c>
      <c r="H42" s="14">
        <v>0</v>
      </c>
      <c r="I42" s="8">
        <f>SUM(G42:H42)</f>
        <v>0</v>
      </c>
    </row>
    <row r="43" spans="1:9" ht="12.75">
      <c r="A43" s="6"/>
      <c r="B43" s="7" t="s">
        <v>218</v>
      </c>
      <c r="C43" s="9">
        <v>0</v>
      </c>
      <c r="D43" s="8">
        <v>0</v>
      </c>
      <c r="E43" s="8">
        <v>0</v>
      </c>
      <c r="F43" s="8">
        <f>SUM(D43-E43)</f>
        <v>0</v>
      </c>
      <c r="G43" s="8">
        <v>0</v>
      </c>
      <c r="H43" s="8">
        <v>0</v>
      </c>
      <c r="I43" s="8">
        <f>SUM(G43:H43)</f>
        <v>0</v>
      </c>
    </row>
    <row r="44" spans="1:9" s="73" customFormat="1" ht="13.5" thickBot="1">
      <c r="A44" s="10"/>
      <c r="B44" s="11" t="s">
        <v>9</v>
      </c>
      <c r="C44" s="80">
        <f aca="true" t="shared" si="8" ref="C44:I44">SUM(C41:C43)</f>
        <v>136121.94</v>
      </c>
      <c r="D44" s="80">
        <f t="shared" si="8"/>
        <v>140193</v>
      </c>
      <c r="E44" s="80">
        <f t="shared" si="8"/>
        <v>125611.25</v>
      </c>
      <c r="F44" s="80">
        <f t="shared" si="8"/>
        <v>14581.75</v>
      </c>
      <c r="G44" s="80">
        <f t="shared" si="8"/>
        <v>154464</v>
      </c>
      <c r="H44" s="80">
        <f t="shared" si="8"/>
        <v>-102852</v>
      </c>
      <c r="I44" s="80">
        <f t="shared" si="8"/>
        <v>51612</v>
      </c>
    </row>
    <row r="45" spans="1:9" ht="13.5" thickBot="1">
      <c r="A45" s="3" t="s">
        <v>51</v>
      </c>
      <c r="B45" s="4" t="s">
        <v>186</v>
      </c>
      <c r="C45" s="5"/>
      <c r="D45" s="5"/>
      <c r="E45" s="5"/>
      <c r="F45" s="5"/>
      <c r="G45" s="5"/>
      <c r="H45" s="5"/>
      <c r="I45" s="5"/>
    </row>
    <row r="46" spans="1:9" ht="12.75">
      <c r="A46" s="6"/>
      <c r="B46" s="7" t="s">
        <v>187</v>
      </c>
      <c r="C46" s="9">
        <v>5417.5</v>
      </c>
      <c r="D46" s="8">
        <v>900</v>
      </c>
      <c r="E46" s="8">
        <v>895</v>
      </c>
      <c r="F46" s="8">
        <f>SUM(D46-E46)</f>
        <v>5</v>
      </c>
      <c r="G46" s="8">
        <v>0</v>
      </c>
      <c r="H46" s="8"/>
      <c r="I46" s="8">
        <f>SUM(G46:H46)</f>
        <v>0</v>
      </c>
    </row>
    <row r="47" spans="1:9" ht="12.75">
      <c r="A47" s="6"/>
      <c r="B47" s="7" t="s">
        <v>166</v>
      </c>
      <c r="C47" s="9">
        <v>1087</v>
      </c>
      <c r="D47" s="8">
        <v>4000</v>
      </c>
      <c r="E47" s="8">
        <v>180</v>
      </c>
      <c r="F47" s="8">
        <f>SUM(D47-E47)</f>
        <v>3820</v>
      </c>
      <c r="G47" s="8">
        <v>8000</v>
      </c>
      <c r="H47" s="8"/>
      <c r="I47" s="8">
        <f>SUM(G47:H47)</f>
        <v>8000</v>
      </c>
    </row>
    <row r="48" spans="1:9" ht="12.75">
      <c r="A48" s="6"/>
      <c r="B48" s="7" t="s">
        <v>188</v>
      </c>
      <c r="C48" s="9">
        <v>200</v>
      </c>
      <c r="D48" s="8">
        <f>2000+4500</f>
        <v>6500</v>
      </c>
      <c r="E48" s="8">
        <f>7411.56+514</f>
        <v>7925.56</v>
      </c>
      <c r="F48" s="8">
        <f>SUM(D48-E48)</f>
        <v>-1425.5600000000004</v>
      </c>
      <c r="G48" s="8">
        <f>1000+7500</f>
        <v>8500</v>
      </c>
      <c r="H48" s="8"/>
      <c r="I48" s="8">
        <f>SUM(G48:H48)</f>
        <v>8500</v>
      </c>
    </row>
    <row r="49" spans="1:9" s="73" customFormat="1" ht="13.5" thickBot="1">
      <c r="A49" s="23"/>
      <c r="B49" s="24" t="s">
        <v>9</v>
      </c>
      <c r="C49" s="81">
        <f aca="true" t="shared" si="9" ref="C49:I49">SUM(C46:C48)</f>
        <v>6704.5</v>
      </c>
      <c r="D49" s="81">
        <f t="shared" si="9"/>
        <v>11400</v>
      </c>
      <c r="E49" s="81">
        <f t="shared" si="9"/>
        <v>9000.560000000001</v>
      </c>
      <c r="F49" s="81">
        <f t="shared" si="9"/>
        <v>2399.4399999999996</v>
      </c>
      <c r="G49" s="81">
        <f t="shared" si="9"/>
        <v>16500</v>
      </c>
      <c r="H49" s="81">
        <f t="shared" si="9"/>
        <v>0</v>
      </c>
      <c r="I49" s="81">
        <f t="shared" si="9"/>
        <v>16500</v>
      </c>
    </row>
    <row r="50" spans="1:9" ht="13.5" thickBot="1">
      <c r="A50" s="43" t="s">
        <v>54</v>
      </c>
      <c r="B50" s="4" t="s">
        <v>55</v>
      </c>
      <c r="C50" s="5"/>
      <c r="D50" s="5"/>
      <c r="E50" s="5"/>
      <c r="F50" s="5"/>
      <c r="G50" s="5"/>
      <c r="H50" s="5"/>
      <c r="I50" s="5"/>
    </row>
    <row r="51" spans="1:9" ht="12.75">
      <c r="A51" s="6"/>
      <c r="B51" s="7" t="s">
        <v>243</v>
      </c>
      <c r="C51" s="15">
        <v>0</v>
      </c>
      <c r="D51" s="8">
        <v>0</v>
      </c>
      <c r="E51" s="8">
        <v>0</v>
      </c>
      <c r="F51" s="8">
        <f aca="true" t="shared" si="10" ref="F51:F72">SUM(D51-E51)</f>
        <v>0</v>
      </c>
      <c r="G51" s="8">
        <v>0</v>
      </c>
      <c r="H51" s="8">
        <v>0</v>
      </c>
      <c r="I51" s="8">
        <f aca="true" t="shared" si="11" ref="I51:I72">SUM(G51:H51)</f>
        <v>0</v>
      </c>
    </row>
    <row r="52" spans="1:9" ht="12.75">
      <c r="A52" s="6"/>
      <c r="B52" s="7" t="s">
        <v>244</v>
      </c>
      <c r="C52" s="15">
        <v>1467.62</v>
      </c>
      <c r="D52" s="8">
        <v>2500</v>
      </c>
      <c r="E52" s="8">
        <v>359.15</v>
      </c>
      <c r="F52" s="8">
        <f t="shared" si="10"/>
        <v>2140.85</v>
      </c>
      <c r="G52" s="8">
        <v>0</v>
      </c>
      <c r="H52" s="8"/>
      <c r="I52" s="8">
        <f t="shared" si="11"/>
        <v>0</v>
      </c>
    </row>
    <row r="53" spans="1:9" ht="12.75">
      <c r="A53" s="6"/>
      <c r="B53" s="7" t="s">
        <v>245</v>
      </c>
      <c r="C53" s="15">
        <v>0</v>
      </c>
      <c r="D53" s="8">
        <v>2500</v>
      </c>
      <c r="E53" s="8"/>
      <c r="F53" s="8">
        <f t="shared" si="10"/>
        <v>2500</v>
      </c>
      <c r="G53" s="8">
        <v>30000</v>
      </c>
      <c r="H53" s="8"/>
      <c r="I53" s="8">
        <f t="shared" si="11"/>
        <v>30000</v>
      </c>
    </row>
    <row r="54" spans="1:9" ht="12.75">
      <c r="A54" s="6"/>
      <c r="B54" s="7" t="s">
        <v>246</v>
      </c>
      <c r="C54" s="15">
        <v>6968.31</v>
      </c>
      <c r="D54" s="8">
        <v>4500</v>
      </c>
      <c r="E54" s="8">
        <v>141.48</v>
      </c>
      <c r="F54" s="8">
        <f t="shared" si="10"/>
        <v>4358.52</v>
      </c>
      <c r="G54" s="8">
        <v>0</v>
      </c>
      <c r="H54" s="8"/>
      <c r="I54" s="8">
        <f t="shared" si="11"/>
        <v>0</v>
      </c>
    </row>
    <row r="55" spans="1:9" ht="12.75">
      <c r="A55" s="6"/>
      <c r="B55" s="7" t="s">
        <v>247</v>
      </c>
      <c r="C55" s="15">
        <v>0</v>
      </c>
      <c r="D55" s="8">
        <v>0</v>
      </c>
      <c r="E55" s="8"/>
      <c r="F55" s="8">
        <f t="shared" si="10"/>
        <v>0</v>
      </c>
      <c r="G55" s="8">
        <v>0</v>
      </c>
      <c r="H55" s="8"/>
      <c r="I55" s="8">
        <f t="shared" si="11"/>
        <v>0</v>
      </c>
    </row>
    <row r="56" spans="1:9" ht="12.75">
      <c r="A56" s="6"/>
      <c r="B56" s="7" t="s">
        <v>248</v>
      </c>
      <c r="C56" s="15">
        <v>440</v>
      </c>
      <c r="D56" s="8">
        <v>0</v>
      </c>
      <c r="E56" s="8"/>
      <c r="F56" s="8">
        <f t="shared" si="10"/>
        <v>0</v>
      </c>
      <c r="G56" s="8">
        <v>0</v>
      </c>
      <c r="H56" s="8"/>
      <c r="I56" s="8">
        <f t="shared" si="11"/>
        <v>0</v>
      </c>
    </row>
    <row r="57" spans="1:9" ht="12.75">
      <c r="A57" s="6"/>
      <c r="B57" s="7" t="s">
        <v>249</v>
      </c>
      <c r="C57" s="15">
        <v>478.95</v>
      </c>
      <c r="D57" s="8">
        <v>1700</v>
      </c>
      <c r="E57" s="8">
        <v>124.66</v>
      </c>
      <c r="F57" s="8">
        <f t="shared" si="10"/>
        <v>1575.34</v>
      </c>
      <c r="G57" s="8">
        <v>0</v>
      </c>
      <c r="H57" s="8"/>
      <c r="I57" s="8">
        <f t="shared" si="11"/>
        <v>0</v>
      </c>
    </row>
    <row r="58" spans="1:9" ht="12.75">
      <c r="A58" s="6"/>
      <c r="B58" s="7" t="s">
        <v>250</v>
      </c>
      <c r="C58" s="15">
        <v>1864.65</v>
      </c>
      <c r="D58" s="8">
        <v>1500</v>
      </c>
      <c r="E58" s="8"/>
      <c r="F58" s="8">
        <f t="shared" si="10"/>
        <v>1500</v>
      </c>
      <c r="G58" s="8">
        <v>0</v>
      </c>
      <c r="H58" s="8"/>
      <c r="I58" s="8">
        <f t="shared" si="11"/>
        <v>0</v>
      </c>
    </row>
    <row r="59" spans="1:9" ht="12.75">
      <c r="A59" s="6"/>
      <c r="B59" s="7" t="s">
        <v>189</v>
      </c>
      <c r="C59" s="15">
        <v>8486.21</v>
      </c>
      <c r="D59" s="8">
        <v>5000</v>
      </c>
      <c r="E59" s="8">
        <v>2837.7</v>
      </c>
      <c r="F59" s="8">
        <f t="shared" si="10"/>
        <v>2162.3</v>
      </c>
      <c r="G59" s="8">
        <v>2000</v>
      </c>
      <c r="H59" s="8"/>
      <c r="I59" s="8">
        <f t="shared" si="11"/>
        <v>2000</v>
      </c>
    </row>
    <row r="60" spans="1:9" ht="12.75">
      <c r="A60" s="6"/>
      <c r="B60" s="7" t="s">
        <v>190</v>
      </c>
      <c r="C60" s="15">
        <v>3961.25</v>
      </c>
      <c r="D60" s="8">
        <v>7000</v>
      </c>
      <c r="E60" s="8">
        <v>3004.08</v>
      </c>
      <c r="F60" s="8">
        <f t="shared" si="10"/>
        <v>3995.92</v>
      </c>
      <c r="G60" s="8">
        <v>8000</v>
      </c>
      <c r="H60" s="8"/>
      <c r="I60" s="8">
        <f t="shared" si="11"/>
        <v>8000</v>
      </c>
    </row>
    <row r="61" spans="1:9" ht="12.75">
      <c r="A61" s="6"/>
      <c r="B61" s="7" t="s">
        <v>251</v>
      </c>
      <c r="C61" s="9">
        <v>4691.09</v>
      </c>
      <c r="D61" s="8">
        <v>8000</v>
      </c>
      <c r="E61" s="8">
        <v>5583.6</v>
      </c>
      <c r="F61" s="8">
        <f t="shared" si="10"/>
        <v>2416.3999999999996</v>
      </c>
      <c r="G61" s="8">
        <v>10000</v>
      </c>
      <c r="H61" s="8"/>
      <c r="I61" s="8">
        <f t="shared" si="11"/>
        <v>10000</v>
      </c>
    </row>
    <row r="62" spans="1:9" ht="12.75">
      <c r="A62" s="6"/>
      <c r="B62" s="7" t="s">
        <v>252</v>
      </c>
      <c r="C62" s="16">
        <v>85684.22</v>
      </c>
      <c r="D62" s="8">
        <v>18000</v>
      </c>
      <c r="E62" s="8">
        <v>12522.87</v>
      </c>
      <c r="F62" s="8">
        <f t="shared" si="10"/>
        <v>5477.129999999999</v>
      </c>
      <c r="G62" s="8">
        <v>20000</v>
      </c>
      <c r="H62" s="8"/>
      <c r="I62" s="8">
        <f t="shared" si="11"/>
        <v>20000</v>
      </c>
    </row>
    <row r="63" spans="1:9" ht="12.75">
      <c r="A63" s="6"/>
      <c r="B63" s="7" t="s">
        <v>253</v>
      </c>
      <c r="C63" s="16">
        <v>170</v>
      </c>
      <c r="D63" s="8">
        <v>3000</v>
      </c>
      <c r="E63" s="8">
        <v>1372.4</v>
      </c>
      <c r="F63" s="8">
        <f t="shared" si="10"/>
        <v>1627.6</v>
      </c>
      <c r="G63" s="8">
        <v>1500</v>
      </c>
      <c r="H63" s="8"/>
      <c r="I63" s="8">
        <f t="shared" si="11"/>
        <v>1500</v>
      </c>
    </row>
    <row r="64" spans="1:9" ht="12.75">
      <c r="A64" s="6"/>
      <c r="B64" s="7" t="s">
        <v>254</v>
      </c>
      <c r="C64" s="16">
        <v>292.7</v>
      </c>
      <c r="D64" s="8">
        <v>4000</v>
      </c>
      <c r="E64" s="8">
        <v>2479.41</v>
      </c>
      <c r="F64" s="8">
        <f t="shared" si="10"/>
        <v>1520.5900000000001</v>
      </c>
      <c r="G64" s="8">
        <v>1500</v>
      </c>
      <c r="H64" s="8"/>
      <c r="I64" s="8">
        <f t="shared" si="11"/>
        <v>1500</v>
      </c>
    </row>
    <row r="65" spans="1:9" ht="12.75">
      <c r="A65" s="6"/>
      <c r="B65" s="7" t="s">
        <v>255</v>
      </c>
      <c r="C65" s="16">
        <v>35.24</v>
      </c>
      <c r="D65" s="8">
        <v>1500</v>
      </c>
      <c r="E65" s="8">
        <v>1228.96</v>
      </c>
      <c r="F65" s="8">
        <f t="shared" si="10"/>
        <v>271.03999999999996</v>
      </c>
      <c r="G65" s="8">
        <v>1500</v>
      </c>
      <c r="H65" s="8"/>
      <c r="I65" s="8">
        <f t="shared" si="11"/>
        <v>1500</v>
      </c>
    </row>
    <row r="66" spans="1:9" ht="12.75">
      <c r="A66" s="6"/>
      <c r="B66" s="7" t="s">
        <v>256</v>
      </c>
      <c r="C66" s="16">
        <v>0</v>
      </c>
      <c r="D66" s="8">
        <v>6000</v>
      </c>
      <c r="E66" s="8">
        <v>2739.24</v>
      </c>
      <c r="F66" s="8">
        <f t="shared" si="10"/>
        <v>3260.76</v>
      </c>
      <c r="G66" s="8">
        <v>0</v>
      </c>
      <c r="H66" s="8"/>
      <c r="I66" s="8">
        <f t="shared" si="11"/>
        <v>0</v>
      </c>
    </row>
    <row r="67" spans="1:9" ht="12.75">
      <c r="A67" s="6"/>
      <c r="B67" s="7" t="s">
        <v>257</v>
      </c>
      <c r="C67" s="16">
        <v>0</v>
      </c>
      <c r="D67" s="8">
        <v>0</v>
      </c>
      <c r="E67" s="8"/>
      <c r="F67" s="8">
        <f t="shared" si="10"/>
        <v>0</v>
      </c>
      <c r="G67" s="8">
        <v>0</v>
      </c>
      <c r="H67" s="8"/>
      <c r="I67" s="8">
        <f t="shared" si="11"/>
        <v>0</v>
      </c>
    </row>
    <row r="68" spans="1:9" ht="12.75">
      <c r="A68" s="6"/>
      <c r="B68" s="7" t="s">
        <v>258</v>
      </c>
      <c r="C68" s="16">
        <v>5152.99</v>
      </c>
      <c r="D68" s="8">
        <v>4900</v>
      </c>
      <c r="E68" s="8">
        <v>6806.58</v>
      </c>
      <c r="F68" s="8">
        <f t="shared" si="10"/>
        <v>-1906.58</v>
      </c>
      <c r="G68" s="8">
        <v>4000</v>
      </c>
      <c r="H68" s="8"/>
      <c r="I68" s="8">
        <f t="shared" si="11"/>
        <v>4000</v>
      </c>
    </row>
    <row r="69" spans="1:9" ht="12.75">
      <c r="A69" s="6"/>
      <c r="B69" s="7" t="s">
        <v>259</v>
      </c>
      <c r="C69" s="16">
        <v>1785.74</v>
      </c>
      <c r="D69" s="8">
        <v>2900</v>
      </c>
      <c r="E69" s="8">
        <v>949.55</v>
      </c>
      <c r="F69" s="8">
        <f t="shared" si="10"/>
        <v>1950.45</v>
      </c>
      <c r="G69" s="8">
        <v>1500</v>
      </c>
      <c r="H69" s="8"/>
      <c r="I69" s="8">
        <f t="shared" si="11"/>
        <v>1500</v>
      </c>
    </row>
    <row r="70" spans="1:9" ht="12.75">
      <c r="A70" s="6"/>
      <c r="B70" s="7" t="s">
        <v>192</v>
      </c>
      <c r="C70" s="9">
        <v>0</v>
      </c>
      <c r="D70" s="8">
        <v>0</v>
      </c>
      <c r="E70" s="8"/>
      <c r="F70" s="8">
        <f t="shared" si="10"/>
        <v>0</v>
      </c>
      <c r="G70" s="8">
        <v>10000</v>
      </c>
      <c r="H70" s="8"/>
      <c r="I70" s="8">
        <f t="shared" si="11"/>
        <v>10000</v>
      </c>
    </row>
    <row r="71" spans="1:9" ht="12.75">
      <c r="A71" s="6"/>
      <c r="B71" s="7" t="s">
        <v>226</v>
      </c>
      <c r="C71" s="16">
        <v>0</v>
      </c>
      <c r="D71" s="8">
        <v>200</v>
      </c>
      <c r="E71" s="8"/>
      <c r="F71" s="8">
        <f t="shared" si="10"/>
        <v>200</v>
      </c>
      <c r="G71" s="8">
        <v>205</v>
      </c>
      <c r="H71" s="8"/>
      <c r="I71" s="8">
        <f t="shared" si="11"/>
        <v>205</v>
      </c>
    </row>
    <row r="72" spans="1:9" ht="12.75">
      <c r="A72" s="6"/>
      <c r="B72" s="7" t="s">
        <v>224</v>
      </c>
      <c r="C72" s="9">
        <v>422</v>
      </c>
      <c r="D72" s="8">
        <v>2000</v>
      </c>
      <c r="E72" s="8">
        <v>708.1</v>
      </c>
      <c r="F72" s="8">
        <f t="shared" si="10"/>
        <v>1291.9</v>
      </c>
      <c r="G72" s="8">
        <v>2050</v>
      </c>
      <c r="H72" s="8"/>
      <c r="I72" s="8">
        <f t="shared" si="11"/>
        <v>2050</v>
      </c>
    </row>
    <row r="73" spans="1:9" s="73" customFormat="1" ht="13.5" thickBot="1">
      <c r="A73" s="10"/>
      <c r="B73" s="11" t="s">
        <v>9</v>
      </c>
      <c r="C73" s="80">
        <f aca="true" t="shared" si="12" ref="C73:I73">SUM(C51:C72)</f>
        <v>121900.97000000002</v>
      </c>
      <c r="D73" s="80">
        <f t="shared" si="12"/>
        <v>75200</v>
      </c>
      <c r="E73" s="80">
        <f t="shared" si="12"/>
        <v>40857.780000000006</v>
      </c>
      <c r="F73" s="80">
        <f t="shared" si="12"/>
        <v>34342.219999999994</v>
      </c>
      <c r="G73" s="80">
        <f t="shared" si="12"/>
        <v>92255</v>
      </c>
      <c r="H73" s="80">
        <f t="shared" si="12"/>
        <v>0</v>
      </c>
      <c r="I73" s="80">
        <f t="shared" si="12"/>
        <v>92255</v>
      </c>
    </row>
    <row r="74" spans="1:9" ht="13.5" thickBot="1">
      <c r="A74" s="3" t="s">
        <v>58</v>
      </c>
      <c r="B74" s="4" t="s">
        <v>59</v>
      </c>
      <c r="C74" s="5"/>
      <c r="D74" s="5"/>
      <c r="E74" s="5"/>
      <c r="F74" s="5"/>
      <c r="G74" s="5"/>
      <c r="H74" s="5"/>
      <c r="I74" s="5"/>
    </row>
    <row r="75" spans="1:9" ht="12.75">
      <c r="A75" s="6"/>
      <c r="B75" s="7" t="s">
        <v>30</v>
      </c>
      <c r="C75" s="9">
        <v>17247.34</v>
      </c>
      <c r="D75" s="8">
        <v>11000</v>
      </c>
      <c r="E75" s="8">
        <v>5671</v>
      </c>
      <c r="F75" s="8">
        <f>SUM(D75-E75)</f>
        <v>5329</v>
      </c>
      <c r="G75" s="8">
        <v>11000</v>
      </c>
      <c r="H75" s="8"/>
      <c r="I75" s="8">
        <f>SUM(G75:H75)</f>
        <v>11000</v>
      </c>
    </row>
    <row r="76" spans="1:9" ht="12.75">
      <c r="A76" s="6"/>
      <c r="B76" s="7" t="s">
        <v>208</v>
      </c>
      <c r="C76" s="9">
        <v>5808.86</v>
      </c>
      <c r="D76" s="8">
        <v>6000</v>
      </c>
      <c r="E76" s="8">
        <v>5044.88</v>
      </c>
      <c r="F76" s="8">
        <f>SUM(D76-E76)</f>
        <v>955.1199999999999</v>
      </c>
      <c r="G76" s="8">
        <v>41404</v>
      </c>
      <c r="H76" s="8"/>
      <c r="I76" s="8">
        <f>SUM(G76:H76)</f>
        <v>41404</v>
      </c>
    </row>
    <row r="77" spans="1:9" ht="12.75">
      <c r="A77" s="6"/>
      <c r="B77" s="7" t="s">
        <v>312</v>
      </c>
      <c r="C77" s="9">
        <v>44246</v>
      </c>
      <c r="D77" s="8">
        <v>7000</v>
      </c>
      <c r="E77" s="8">
        <v>1724</v>
      </c>
      <c r="F77" s="8">
        <f>SUM(D77-E77)</f>
        <v>5276</v>
      </c>
      <c r="G77" s="8">
        <v>7550</v>
      </c>
      <c r="H77" s="8"/>
      <c r="I77" s="8">
        <f>SUM(G77:H77)</f>
        <v>7550</v>
      </c>
    </row>
    <row r="78" spans="1:9" s="73" customFormat="1" ht="13.5" thickBot="1">
      <c r="A78" s="10"/>
      <c r="B78" s="11" t="s">
        <v>9</v>
      </c>
      <c r="C78" s="80">
        <f aca="true" t="shared" si="13" ref="C78:I78">SUM(C75:C77)</f>
        <v>67302.2</v>
      </c>
      <c r="D78" s="80">
        <f t="shared" si="13"/>
        <v>24000</v>
      </c>
      <c r="E78" s="80">
        <f t="shared" si="13"/>
        <v>12439.880000000001</v>
      </c>
      <c r="F78" s="80">
        <f t="shared" si="13"/>
        <v>11560.119999999999</v>
      </c>
      <c r="G78" s="80">
        <f t="shared" si="13"/>
        <v>59954</v>
      </c>
      <c r="H78" s="80">
        <f t="shared" si="13"/>
        <v>0</v>
      </c>
      <c r="I78" s="80">
        <f t="shared" si="13"/>
        <v>59954</v>
      </c>
    </row>
    <row r="79" spans="1:9" ht="13.5" thickBot="1">
      <c r="A79" s="3" t="s">
        <v>60</v>
      </c>
      <c r="B79" s="4" t="s">
        <v>146</v>
      </c>
      <c r="C79" s="5"/>
      <c r="D79" s="5"/>
      <c r="E79" s="5"/>
      <c r="F79" s="5"/>
      <c r="G79" s="5"/>
      <c r="H79" s="5"/>
      <c r="I79" s="5"/>
    </row>
    <row r="80" spans="1:9" ht="12.75">
      <c r="A80" s="6"/>
      <c r="B80" s="7" t="s">
        <v>12</v>
      </c>
      <c r="C80" s="9">
        <v>133836</v>
      </c>
      <c r="D80" s="8">
        <v>111806</v>
      </c>
      <c r="E80" s="8">
        <v>103611.5</v>
      </c>
      <c r="F80" s="8">
        <f>SUM(D80-E80)</f>
        <v>8194.5</v>
      </c>
      <c r="G80" s="8">
        <v>116409</v>
      </c>
      <c r="H80" s="8"/>
      <c r="I80" s="8">
        <f>SUM(G80:H80)</f>
        <v>116409</v>
      </c>
    </row>
    <row r="81" spans="1:9" ht="12.75">
      <c r="A81" s="6"/>
      <c r="B81" s="7" t="s">
        <v>260</v>
      </c>
      <c r="C81" s="9">
        <v>22451</v>
      </c>
      <c r="D81" s="8">
        <v>21050</v>
      </c>
      <c r="E81" s="8">
        <v>17520.2</v>
      </c>
      <c r="F81" s="8">
        <f>SUM(D81-E81)</f>
        <v>3529.7999999999993</v>
      </c>
      <c r="G81" s="8">
        <v>21550</v>
      </c>
      <c r="H81" s="8"/>
      <c r="I81" s="8">
        <f>SUM(G81:H81)</f>
        <v>21550</v>
      </c>
    </row>
    <row r="82" spans="1:9" ht="12.75">
      <c r="A82" s="6"/>
      <c r="B82" s="7" t="s">
        <v>261</v>
      </c>
      <c r="C82" s="9">
        <v>90</v>
      </c>
      <c r="D82" s="8">
        <v>100</v>
      </c>
      <c r="E82" s="8">
        <v>45</v>
      </c>
      <c r="F82" s="8">
        <f>SUM(D82-E82)</f>
        <v>55</v>
      </c>
      <c r="G82" s="8"/>
      <c r="H82" s="8"/>
      <c r="I82" s="8">
        <f>SUM(G82:H82)</f>
        <v>0</v>
      </c>
    </row>
    <row r="83" spans="1:9" ht="12.75">
      <c r="A83" s="6"/>
      <c r="B83" s="7" t="s">
        <v>195</v>
      </c>
      <c r="C83" s="9">
        <v>394.28</v>
      </c>
      <c r="D83" s="8">
        <v>2000</v>
      </c>
      <c r="E83" s="8"/>
      <c r="F83" s="8">
        <f>SUM(D83-E83)</f>
        <v>2000</v>
      </c>
      <c r="G83" s="8">
        <v>3500</v>
      </c>
      <c r="H83" s="8"/>
      <c r="I83" s="8">
        <f>SUM(G83:H83)</f>
        <v>3500</v>
      </c>
    </row>
    <row r="84" spans="1:9" ht="12.75">
      <c r="A84" s="6"/>
      <c r="B84" s="7" t="s">
        <v>130</v>
      </c>
      <c r="C84" s="9">
        <v>0</v>
      </c>
      <c r="D84" s="8">
        <v>2500</v>
      </c>
      <c r="E84" s="8"/>
      <c r="F84" s="8">
        <f>SUM(D84-E84)</f>
        <v>2500</v>
      </c>
      <c r="G84" s="8">
        <v>0</v>
      </c>
      <c r="H84" s="8"/>
      <c r="I84" s="8">
        <f>SUM(G84:H84)</f>
        <v>0</v>
      </c>
    </row>
    <row r="85" spans="1:9" s="73" customFormat="1" ht="13.5" thickBot="1">
      <c r="A85" s="10"/>
      <c r="B85" s="11" t="s">
        <v>9</v>
      </c>
      <c r="C85" s="80">
        <f aca="true" t="shared" si="14" ref="C85:I85">SUM(C80:C84)</f>
        <v>156771.28</v>
      </c>
      <c r="D85" s="80">
        <f t="shared" si="14"/>
        <v>137456</v>
      </c>
      <c r="E85" s="80">
        <f t="shared" si="14"/>
        <v>121176.7</v>
      </c>
      <c r="F85" s="80">
        <f t="shared" si="14"/>
        <v>16279.3</v>
      </c>
      <c r="G85" s="80">
        <f t="shared" si="14"/>
        <v>141459</v>
      </c>
      <c r="H85" s="80">
        <f t="shared" si="14"/>
        <v>0</v>
      </c>
      <c r="I85" s="80">
        <f t="shared" si="14"/>
        <v>141459</v>
      </c>
    </row>
    <row r="86" spans="1:9" ht="14.25" thickBot="1" thickTop="1">
      <c r="A86" s="33" t="s">
        <v>64</v>
      </c>
      <c r="B86" s="34" t="s">
        <v>65</v>
      </c>
      <c r="C86" s="48">
        <f aca="true" t="shared" si="15" ref="C86:I86">C85+C78+C73+C49+C44+C39+C36+C30+C13</f>
        <v>3293850.51</v>
      </c>
      <c r="D86" s="48">
        <f t="shared" si="15"/>
        <v>3266697</v>
      </c>
      <c r="E86" s="48">
        <f t="shared" si="15"/>
        <v>2532586.36</v>
      </c>
      <c r="F86" s="48">
        <f t="shared" si="15"/>
        <v>734110.64</v>
      </c>
      <c r="G86" s="48">
        <f t="shared" si="15"/>
        <v>3525172</v>
      </c>
      <c r="H86" s="48">
        <f t="shared" si="15"/>
        <v>-38669</v>
      </c>
      <c r="I86" s="48">
        <f t="shared" si="15"/>
        <v>3486503</v>
      </c>
    </row>
    <row r="87" spans="1:9" ht="14.25" thickBot="1" thickTop="1">
      <c r="A87" s="36"/>
      <c r="B87" s="37"/>
      <c r="C87" s="39"/>
      <c r="D87" s="38"/>
      <c r="E87" s="38"/>
      <c r="F87" s="38"/>
      <c r="G87" s="38"/>
      <c r="H87" s="38"/>
      <c r="I87" s="38"/>
    </row>
    <row r="88" spans="1:9" ht="13.5" thickBot="1">
      <c r="A88" s="3" t="s">
        <v>66</v>
      </c>
      <c r="B88" s="4" t="s">
        <v>67</v>
      </c>
      <c r="C88" s="5"/>
      <c r="D88" s="5"/>
      <c r="E88" s="5"/>
      <c r="F88" s="5"/>
      <c r="G88" s="5"/>
      <c r="H88" s="5"/>
      <c r="I88" s="5"/>
    </row>
    <row r="89" spans="1:9" ht="12.75">
      <c r="A89" s="6"/>
      <c r="B89" s="7" t="s">
        <v>196</v>
      </c>
      <c r="C89" s="9">
        <v>51081.03</v>
      </c>
      <c r="D89" s="8">
        <v>52613</v>
      </c>
      <c r="E89" s="8">
        <v>40400.32</v>
      </c>
      <c r="F89" s="8">
        <f>SUM(D89-E89)</f>
        <v>12212.68</v>
      </c>
      <c r="G89" s="8">
        <v>53663</v>
      </c>
      <c r="H89" s="8"/>
      <c r="I89" s="8">
        <f>SUM(G89:H89)</f>
        <v>53663</v>
      </c>
    </row>
    <row r="90" spans="1:9" ht="12.75">
      <c r="A90" s="6"/>
      <c r="B90" s="7" t="s">
        <v>197</v>
      </c>
      <c r="C90" s="9">
        <v>424.55</v>
      </c>
      <c r="D90" s="8">
        <v>0</v>
      </c>
      <c r="E90" s="8">
        <v>334.8</v>
      </c>
      <c r="F90" s="8">
        <f>SUM(D90-E90)</f>
        <v>-334.8</v>
      </c>
      <c r="G90" s="8">
        <v>800</v>
      </c>
      <c r="H90" s="8"/>
      <c r="I90" s="8">
        <f>SUM(G90:H90)</f>
        <v>800</v>
      </c>
    </row>
    <row r="91" spans="1:9" ht="12.75">
      <c r="A91" s="6"/>
      <c r="B91" s="7" t="s">
        <v>198</v>
      </c>
      <c r="C91" s="9">
        <v>310372.69</v>
      </c>
      <c r="D91" s="8">
        <v>242282</v>
      </c>
      <c r="E91" s="8">
        <v>243474</v>
      </c>
      <c r="F91" s="8">
        <f>SUM(D91-E91)</f>
        <v>-1192</v>
      </c>
      <c r="G91" s="8">
        <v>256787</v>
      </c>
      <c r="H91" s="8"/>
      <c r="I91" s="8">
        <f>SUM(G91:H91)</f>
        <v>256787</v>
      </c>
    </row>
    <row r="92" spans="1:9" ht="12.75">
      <c r="A92" s="6"/>
      <c r="B92" s="7" t="s">
        <v>195</v>
      </c>
      <c r="C92" s="9">
        <v>1652</v>
      </c>
      <c r="D92" s="8"/>
      <c r="E92" s="8"/>
      <c r="F92" s="8">
        <f>SUM(D92-E92)</f>
        <v>0</v>
      </c>
      <c r="G92" s="8"/>
      <c r="H92" s="8"/>
      <c r="I92" s="8">
        <f>SUM(G92:H92)</f>
        <v>0</v>
      </c>
    </row>
    <row r="93" spans="1:9" s="73" customFormat="1" ht="13.5" thickBot="1">
      <c r="A93" s="10"/>
      <c r="B93" s="11" t="s">
        <v>9</v>
      </c>
      <c r="C93" s="80">
        <f aca="true" t="shared" si="16" ref="C93:I93">SUM(C89:C92)</f>
        <v>363530.27</v>
      </c>
      <c r="D93" s="80">
        <f t="shared" si="16"/>
        <v>294895</v>
      </c>
      <c r="E93" s="80">
        <f t="shared" si="16"/>
        <v>284209.12</v>
      </c>
      <c r="F93" s="80">
        <f t="shared" si="16"/>
        <v>10685.880000000001</v>
      </c>
      <c r="G93" s="80">
        <f t="shared" si="16"/>
        <v>311250</v>
      </c>
      <c r="H93" s="80">
        <f t="shared" si="16"/>
        <v>0</v>
      </c>
      <c r="I93" s="80">
        <f t="shared" si="16"/>
        <v>311250</v>
      </c>
    </row>
    <row r="94" spans="1:9" ht="13.5" thickBot="1">
      <c r="A94" s="3" t="s">
        <v>199</v>
      </c>
      <c r="B94" s="4" t="s">
        <v>200</v>
      </c>
      <c r="C94" s="5"/>
      <c r="D94" s="5"/>
      <c r="E94" s="5"/>
      <c r="F94" s="5"/>
      <c r="G94" s="5"/>
      <c r="H94" s="5"/>
      <c r="I94" s="5"/>
    </row>
    <row r="95" spans="1:9" ht="12.75">
      <c r="A95" s="6"/>
      <c r="B95" s="7" t="s">
        <v>201</v>
      </c>
      <c r="C95" s="9">
        <v>1895</v>
      </c>
      <c r="D95" s="8">
        <v>4000</v>
      </c>
      <c r="E95" s="8">
        <v>2515</v>
      </c>
      <c r="F95" s="8">
        <f>SUM(D95-E95)</f>
        <v>1485</v>
      </c>
      <c r="G95" s="8">
        <v>3500</v>
      </c>
      <c r="H95" s="8"/>
      <c r="I95" s="8">
        <f>SUM(G95:H95)</f>
        <v>3500</v>
      </c>
    </row>
    <row r="96" spans="1:9" ht="12.75">
      <c r="A96" s="6"/>
      <c r="B96" s="7" t="s">
        <v>262</v>
      </c>
      <c r="C96" s="42">
        <v>1850</v>
      </c>
      <c r="D96" s="8">
        <v>4000</v>
      </c>
      <c r="E96" s="8">
        <v>580</v>
      </c>
      <c r="F96" s="8">
        <f>SUM(D96-E96)</f>
        <v>3420</v>
      </c>
      <c r="G96" s="8">
        <v>3200</v>
      </c>
      <c r="H96" s="8"/>
      <c r="I96" s="8">
        <f>SUM(G96:H96)</f>
        <v>3200</v>
      </c>
    </row>
    <row r="97" spans="1:9" ht="12.75">
      <c r="A97" s="6"/>
      <c r="B97" s="7" t="s">
        <v>263</v>
      </c>
      <c r="C97" s="42"/>
      <c r="D97" s="8">
        <v>11325</v>
      </c>
      <c r="E97" s="8"/>
      <c r="F97" s="8">
        <f>SUM(D97-E97)</f>
        <v>11325</v>
      </c>
      <c r="G97" s="8"/>
      <c r="H97" s="8"/>
      <c r="I97" s="8">
        <f>SUM(G97:H97)</f>
        <v>0</v>
      </c>
    </row>
    <row r="98" spans="1:9" ht="12.75">
      <c r="A98" s="6"/>
      <c r="B98" s="7" t="s">
        <v>264</v>
      </c>
      <c r="C98" s="42"/>
      <c r="D98" s="8">
        <v>25371</v>
      </c>
      <c r="E98" s="8">
        <v>16021.22</v>
      </c>
      <c r="F98" s="8">
        <f>SUM(D98-E98)</f>
        <v>9349.78</v>
      </c>
      <c r="G98" s="8">
        <v>17532</v>
      </c>
      <c r="H98" s="8"/>
      <c r="I98" s="8">
        <f>SUM(G98:H98)</f>
        <v>17532</v>
      </c>
    </row>
    <row r="99" spans="1:9" ht="12.75">
      <c r="A99" s="6"/>
      <c r="B99" s="7" t="s">
        <v>202</v>
      </c>
      <c r="C99" s="42">
        <v>1431.73</v>
      </c>
      <c r="D99" s="8">
        <v>3000</v>
      </c>
      <c r="E99" s="8">
        <v>525.89</v>
      </c>
      <c r="F99" s="8">
        <f>SUM(D99-E99)</f>
        <v>2474.11</v>
      </c>
      <c r="G99" s="8"/>
      <c r="H99" s="8"/>
      <c r="I99" s="8">
        <f>SUM(G99:H99)</f>
        <v>0</v>
      </c>
    </row>
    <row r="100" spans="1:9" s="73" customFormat="1" ht="13.5" thickBot="1">
      <c r="A100" s="10"/>
      <c r="B100" s="11" t="s">
        <v>9</v>
      </c>
      <c r="C100" s="80">
        <f aca="true" t="shared" si="17" ref="C100:I100">SUM(C95:C99)</f>
        <v>5176.73</v>
      </c>
      <c r="D100" s="80">
        <f t="shared" si="17"/>
        <v>47696</v>
      </c>
      <c r="E100" s="80">
        <f t="shared" si="17"/>
        <v>19642.11</v>
      </c>
      <c r="F100" s="80">
        <f t="shared" si="17"/>
        <v>28053.89</v>
      </c>
      <c r="G100" s="80">
        <f t="shared" si="17"/>
        <v>24232</v>
      </c>
      <c r="H100" s="80">
        <f t="shared" si="17"/>
        <v>0</v>
      </c>
      <c r="I100" s="80">
        <f t="shared" si="17"/>
        <v>24232</v>
      </c>
    </row>
    <row r="101" spans="1:9" ht="14.25" thickBot="1" thickTop="1">
      <c r="A101" s="66" t="s">
        <v>71</v>
      </c>
      <c r="B101" s="67" t="s">
        <v>72</v>
      </c>
      <c r="C101" s="68">
        <f aca="true" t="shared" si="18" ref="C101:I101">C93+C100</f>
        <v>368707</v>
      </c>
      <c r="D101" s="68">
        <f t="shared" si="18"/>
        <v>342591</v>
      </c>
      <c r="E101" s="68">
        <f t="shared" si="18"/>
        <v>303851.23</v>
      </c>
      <c r="F101" s="68">
        <f t="shared" si="18"/>
        <v>38739.770000000004</v>
      </c>
      <c r="G101" s="68">
        <f t="shared" si="18"/>
        <v>335482</v>
      </c>
      <c r="H101" s="68">
        <f t="shared" si="18"/>
        <v>0</v>
      </c>
      <c r="I101" s="68">
        <f t="shared" si="18"/>
        <v>335482</v>
      </c>
    </row>
    <row r="102" spans="1:9" ht="13.5" thickBot="1">
      <c r="A102" s="43" t="s">
        <v>73</v>
      </c>
      <c r="B102" s="52" t="s">
        <v>203</v>
      </c>
      <c r="C102" s="5"/>
      <c r="D102" s="5"/>
      <c r="E102" s="5"/>
      <c r="F102" s="5"/>
      <c r="G102" s="5"/>
      <c r="H102" s="5"/>
      <c r="I102" s="5"/>
    </row>
    <row r="103" spans="1:9" ht="12.75">
      <c r="A103" s="6"/>
      <c r="B103" s="7" t="s">
        <v>7</v>
      </c>
      <c r="C103" s="9">
        <v>193367.35</v>
      </c>
      <c r="D103" s="8">
        <v>176768</v>
      </c>
      <c r="E103" s="8">
        <f>117538.34+26394.39</f>
        <v>143932.72999999998</v>
      </c>
      <c r="F103" s="8">
        <f aca="true" t="shared" si="19" ref="F103:F111">SUM(D103-E103)</f>
        <v>32835.27000000002</v>
      </c>
      <c r="G103" s="8">
        <v>141092</v>
      </c>
      <c r="H103" s="8">
        <v>-56238</v>
      </c>
      <c r="I103" s="8">
        <f aca="true" t="shared" si="20" ref="I103:I111">SUM(G103:H103)</f>
        <v>84854</v>
      </c>
    </row>
    <row r="104" spans="1:9" ht="12.75">
      <c r="A104" s="6"/>
      <c r="B104" s="7" t="s">
        <v>221</v>
      </c>
      <c r="C104" s="9">
        <v>0</v>
      </c>
      <c r="D104" s="8">
        <v>0</v>
      </c>
      <c r="E104" s="8"/>
      <c r="F104" s="8">
        <f t="shared" si="19"/>
        <v>0</v>
      </c>
      <c r="G104" s="8">
        <v>0</v>
      </c>
      <c r="H104" s="8"/>
      <c r="I104" s="8">
        <f t="shared" si="20"/>
        <v>0</v>
      </c>
    </row>
    <row r="105" spans="1:9" ht="12.75">
      <c r="A105" s="6"/>
      <c r="B105" s="7" t="s">
        <v>195</v>
      </c>
      <c r="C105" s="9">
        <v>12088.94</v>
      </c>
      <c r="D105" s="8">
        <v>10188.67</v>
      </c>
      <c r="E105" s="8">
        <f>12959.15+140</f>
        <v>13099.15</v>
      </c>
      <c r="F105" s="8">
        <f t="shared" si="19"/>
        <v>-2910.4799999999996</v>
      </c>
      <c r="G105" s="8">
        <v>29285</v>
      </c>
      <c r="H105" s="8"/>
      <c r="I105" s="8">
        <f t="shared" si="20"/>
        <v>29285</v>
      </c>
    </row>
    <row r="106" spans="1:9" s="73" customFormat="1" ht="13.5" thickBot="1">
      <c r="A106" s="54"/>
      <c r="B106" s="31" t="s">
        <v>204</v>
      </c>
      <c r="C106" s="82">
        <f aca="true" t="shared" si="21" ref="C106:I106">SUM(C103:C105)</f>
        <v>205456.29</v>
      </c>
      <c r="D106" s="82">
        <f t="shared" si="21"/>
        <v>186956.67</v>
      </c>
      <c r="E106" s="82">
        <f t="shared" si="21"/>
        <v>157031.87999999998</v>
      </c>
      <c r="F106" s="82">
        <f t="shared" si="21"/>
        <v>29924.79000000002</v>
      </c>
      <c r="G106" s="82">
        <f t="shared" si="21"/>
        <v>170377</v>
      </c>
      <c r="H106" s="82">
        <f t="shared" si="21"/>
        <v>-56238</v>
      </c>
      <c r="I106" s="82">
        <f t="shared" si="21"/>
        <v>114139</v>
      </c>
    </row>
    <row r="107" spans="1:9" ht="13.5" thickTop="1">
      <c r="A107" s="6"/>
      <c r="B107" s="7" t="s">
        <v>205</v>
      </c>
      <c r="C107" s="9">
        <v>89539.24</v>
      </c>
      <c r="D107" s="8">
        <v>68732.5</v>
      </c>
      <c r="E107" s="8">
        <v>43209.85</v>
      </c>
      <c r="F107" s="8">
        <f t="shared" si="19"/>
        <v>25522.65</v>
      </c>
      <c r="G107" s="8">
        <v>100507</v>
      </c>
      <c r="H107" s="8"/>
      <c r="I107" s="8">
        <f t="shared" si="20"/>
        <v>100507</v>
      </c>
    </row>
    <row r="108" spans="1:9" ht="12.75">
      <c r="A108" s="6"/>
      <c r="B108" s="7" t="s">
        <v>206</v>
      </c>
      <c r="C108" s="9">
        <v>0</v>
      </c>
      <c r="D108" s="8">
        <v>0</v>
      </c>
      <c r="E108" s="8"/>
      <c r="F108" s="8">
        <f t="shared" si="19"/>
        <v>0</v>
      </c>
      <c r="G108" s="8">
        <v>0</v>
      </c>
      <c r="H108" s="8"/>
      <c r="I108" s="8">
        <f t="shared" si="20"/>
        <v>0</v>
      </c>
    </row>
    <row r="109" spans="1:9" ht="12.75">
      <c r="A109" s="6"/>
      <c r="B109" s="7" t="s">
        <v>265</v>
      </c>
      <c r="C109" s="9"/>
      <c r="D109" s="8"/>
      <c r="E109" s="8"/>
      <c r="F109" s="8">
        <f t="shared" si="19"/>
        <v>0</v>
      </c>
      <c r="G109" s="8">
        <v>50000</v>
      </c>
      <c r="H109" s="8"/>
      <c r="I109" s="8">
        <f t="shared" si="20"/>
        <v>50000</v>
      </c>
    </row>
    <row r="110" spans="1:9" ht="12.75">
      <c r="A110" s="6"/>
      <c r="B110" s="7" t="s">
        <v>207</v>
      </c>
      <c r="C110" s="9">
        <v>64587.77</v>
      </c>
      <c r="D110" s="8">
        <v>100000</v>
      </c>
      <c r="E110" s="8">
        <v>44378.21</v>
      </c>
      <c r="F110" s="8">
        <f t="shared" si="19"/>
        <v>55621.79</v>
      </c>
      <c r="G110" s="8">
        <v>100000</v>
      </c>
      <c r="H110" s="8"/>
      <c r="I110" s="8">
        <f t="shared" si="20"/>
        <v>100000</v>
      </c>
    </row>
    <row r="111" spans="1:9" ht="12.75">
      <c r="A111" s="6"/>
      <c r="B111" s="7" t="s">
        <v>209</v>
      </c>
      <c r="C111" s="9">
        <v>16047.12</v>
      </c>
      <c r="D111" s="8">
        <v>19000</v>
      </c>
      <c r="E111" s="8">
        <v>9325.16</v>
      </c>
      <c r="F111" s="8">
        <f t="shared" si="19"/>
        <v>9674.84</v>
      </c>
      <c r="G111" s="8">
        <v>33272</v>
      </c>
      <c r="H111" s="8"/>
      <c r="I111" s="8">
        <f t="shared" si="20"/>
        <v>33272</v>
      </c>
    </row>
    <row r="112" spans="1:9" s="73" customFormat="1" ht="13.5" thickBot="1">
      <c r="A112" s="54"/>
      <c r="B112" s="11" t="s">
        <v>210</v>
      </c>
      <c r="C112" s="80">
        <f aca="true" t="shared" si="22" ref="C112:I112">SUM(C107:C111)</f>
        <v>170174.13</v>
      </c>
      <c r="D112" s="80">
        <f t="shared" si="22"/>
        <v>187732.5</v>
      </c>
      <c r="E112" s="80">
        <f t="shared" si="22"/>
        <v>96913.22</v>
      </c>
      <c r="F112" s="80">
        <f t="shared" si="22"/>
        <v>90819.28</v>
      </c>
      <c r="G112" s="80">
        <f t="shared" si="22"/>
        <v>283779</v>
      </c>
      <c r="H112" s="80">
        <f t="shared" si="22"/>
        <v>0</v>
      </c>
      <c r="I112" s="80">
        <f t="shared" si="22"/>
        <v>283779</v>
      </c>
    </row>
    <row r="113" spans="1:9" ht="14.25" thickBot="1" thickTop="1">
      <c r="A113" s="33" t="s">
        <v>73</v>
      </c>
      <c r="B113" s="34" t="s">
        <v>75</v>
      </c>
      <c r="C113" s="69">
        <f aca="true" t="shared" si="23" ref="C113:I113">C112+C106</f>
        <v>375630.42000000004</v>
      </c>
      <c r="D113" s="69">
        <f t="shared" si="23"/>
        <v>374689.17000000004</v>
      </c>
      <c r="E113" s="69">
        <f t="shared" si="23"/>
        <v>253945.09999999998</v>
      </c>
      <c r="F113" s="69">
        <f t="shared" si="23"/>
        <v>120744.07000000002</v>
      </c>
      <c r="G113" s="69">
        <f t="shared" si="23"/>
        <v>454156</v>
      </c>
      <c r="H113" s="69">
        <f t="shared" si="23"/>
        <v>-56238</v>
      </c>
      <c r="I113" s="69">
        <f t="shared" si="23"/>
        <v>397918</v>
      </c>
    </row>
    <row r="114" spans="1:9" ht="13.5" thickTop="1">
      <c r="A114" s="6"/>
      <c r="B114" s="7"/>
      <c r="C114" s="9"/>
      <c r="D114" s="8"/>
      <c r="E114" s="8"/>
      <c r="F114" s="8"/>
      <c r="G114" s="8"/>
      <c r="H114" s="8"/>
      <c r="I114" s="8"/>
    </row>
    <row r="115" spans="1:9" ht="13.5" thickBot="1">
      <c r="A115" s="121" t="s">
        <v>266</v>
      </c>
      <c r="B115" s="122"/>
      <c r="C115" s="56">
        <v>0</v>
      </c>
      <c r="D115" s="56">
        <v>0</v>
      </c>
      <c r="E115" s="56"/>
      <c r="F115" s="56"/>
      <c r="G115" s="56">
        <f>G120</f>
        <v>84357</v>
      </c>
      <c r="H115" s="56"/>
      <c r="I115" s="56">
        <v>84357</v>
      </c>
    </row>
    <row r="116" spans="1:9" ht="13.5" thickTop="1">
      <c r="A116" s="6"/>
      <c r="B116" s="57"/>
      <c r="C116" s="9"/>
      <c r="D116" s="8"/>
      <c r="E116" s="8"/>
      <c r="F116" s="8"/>
      <c r="G116" s="8"/>
      <c r="H116" s="8"/>
      <c r="I116" s="8"/>
    </row>
    <row r="117" spans="1:9" ht="13.5" thickBot="1">
      <c r="A117" s="117" t="s">
        <v>100</v>
      </c>
      <c r="B117" s="118"/>
      <c r="C117" s="58">
        <f aca="true" t="shared" si="24" ref="C117:I117">C86+C101+C113+C115</f>
        <v>4038187.9299999997</v>
      </c>
      <c r="D117" s="58">
        <f t="shared" si="24"/>
        <v>3983977.17</v>
      </c>
      <c r="E117" s="58">
        <f t="shared" si="24"/>
        <v>3090382.69</v>
      </c>
      <c r="F117" s="58">
        <f t="shared" si="24"/>
        <v>893594.4800000001</v>
      </c>
      <c r="G117" s="58">
        <f t="shared" si="24"/>
        <v>4399167</v>
      </c>
      <c r="H117" s="58">
        <f t="shared" si="24"/>
        <v>-94907</v>
      </c>
      <c r="I117" s="58">
        <f t="shared" si="24"/>
        <v>4304260</v>
      </c>
    </row>
    <row r="118" spans="1:9" ht="12.75">
      <c r="A118" s="59"/>
      <c r="B118" s="7"/>
      <c r="C118" s="60"/>
      <c r="D118" s="60"/>
      <c r="E118" s="60"/>
      <c r="F118" s="60"/>
      <c r="G118" s="60"/>
      <c r="H118" s="60"/>
      <c r="I118" s="60"/>
    </row>
    <row r="119" spans="1:9" ht="12.75">
      <c r="A119" s="59">
        <v>3</v>
      </c>
      <c r="B119" s="7" t="s">
        <v>267</v>
      </c>
      <c r="C119" s="60"/>
      <c r="D119" s="60"/>
      <c r="E119" s="60"/>
      <c r="F119" s="60"/>
      <c r="G119" s="60">
        <v>84357</v>
      </c>
      <c r="H119" s="60"/>
      <c r="I119" s="60"/>
    </row>
    <row r="120" ht="12.75">
      <c r="G120" s="62">
        <f>SUM(G119)</f>
        <v>84357</v>
      </c>
    </row>
  </sheetData>
  <mergeCells count="11">
    <mergeCell ref="H3:H4"/>
    <mergeCell ref="I3:I4"/>
    <mergeCell ref="A115:B115"/>
    <mergeCell ref="A117:B117"/>
    <mergeCell ref="A1:I2"/>
    <mergeCell ref="A3:B5"/>
    <mergeCell ref="C3:C4"/>
    <mergeCell ref="D3:D4"/>
    <mergeCell ref="E3:E4"/>
    <mergeCell ref="F3:F4"/>
    <mergeCell ref="G3:G4"/>
  </mergeCells>
  <printOptions gridLines="1"/>
  <pageMargins left="0.39" right="0.41" top="1" bottom="1" header="0.5" footer="0.5"/>
  <pageSetup horizontalDpi="150" verticalDpi="15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9"/>
  <sheetViews>
    <sheetView workbookViewId="0" topLeftCell="A1">
      <selection activeCell="A1" sqref="A1:I2"/>
    </sheetView>
  </sheetViews>
  <sheetFormatPr defaultColWidth="9.140625" defaultRowHeight="12.75"/>
  <cols>
    <col min="1" max="1" width="5.57421875" style="0" bestFit="1" customWidth="1"/>
    <col min="2" max="2" width="36.00390625" style="0" bestFit="1" customWidth="1"/>
    <col min="3" max="4" width="13.7109375" style="0" customWidth="1"/>
    <col min="5" max="5" width="13.8515625" style="0" customWidth="1"/>
    <col min="6" max="9" width="13.7109375" style="0" customWidth="1"/>
  </cols>
  <sheetData>
    <row r="1" spans="1:9" ht="12.75">
      <c r="A1" s="102" t="s">
        <v>268</v>
      </c>
      <c r="B1" s="103"/>
      <c r="C1" s="103"/>
      <c r="D1" s="103"/>
      <c r="E1" s="103"/>
      <c r="F1" s="103"/>
      <c r="G1" s="103"/>
      <c r="H1" s="103"/>
      <c r="I1" s="104"/>
    </row>
    <row r="2" spans="1:9" ht="13.5" thickBot="1">
      <c r="A2" s="105"/>
      <c r="B2" s="106"/>
      <c r="C2" s="106"/>
      <c r="D2" s="106"/>
      <c r="E2" s="106"/>
      <c r="F2" s="106"/>
      <c r="G2" s="106"/>
      <c r="H2" s="106"/>
      <c r="I2" s="107"/>
    </row>
    <row r="3" spans="1:9" ht="12.75">
      <c r="A3" s="109" t="s">
        <v>269</v>
      </c>
      <c r="B3" s="110"/>
      <c r="C3" s="119" t="s">
        <v>0</v>
      </c>
      <c r="D3" s="115"/>
      <c r="E3" s="119" t="s">
        <v>1</v>
      </c>
      <c r="F3" s="115"/>
      <c r="G3" s="115"/>
      <c r="H3" s="115" t="s">
        <v>2</v>
      </c>
      <c r="I3" s="115"/>
    </row>
    <row r="4" spans="1:9" ht="12.75">
      <c r="A4" s="111"/>
      <c r="B4" s="112"/>
      <c r="C4" s="120"/>
      <c r="D4" s="116"/>
      <c r="E4" s="120"/>
      <c r="F4" s="116"/>
      <c r="G4" s="116"/>
      <c r="H4" s="116"/>
      <c r="I4" s="116"/>
    </row>
    <row r="5" spans="1:9" ht="13.5" thickBot="1">
      <c r="A5" s="111"/>
      <c r="B5" s="112"/>
      <c r="C5" s="2" t="s">
        <v>3</v>
      </c>
      <c r="D5" s="2" t="s">
        <v>139</v>
      </c>
      <c r="E5" s="2" t="s">
        <v>3</v>
      </c>
      <c r="F5" s="2" t="s">
        <v>213</v>
      </c>
      <c r="G5" s="2" t="s">
        <v>4</v>
      </c>
      <c r="H5" s="2" t="s">
        <v>215</v>
      </c>
      <c r="I5" s="2" t="s">
        <v>160</v>
      </c>
    </row>
    <row r="6" spans="1:9" ht="13.5" thickBot="1">
      <c r="A6" s="3" t="s">
        <v>161</v>
      </c>
      <c r="B6" s="4" t="s">
        <v>162</v>
      </c>
      <c r="C6" s="5"/>
      <c r="D6" s="5"/>
      <c r="E6" s="5"/>
      <c r="F6" s="5"/>
      <c r="G6" s="5"/>
      <c r="H6" s="5"/>
      <c r="I6" s="5"/>
    </row>
    <row r="7" spans="1:9" ht="12.75">
      <c r="A7" s="6"/>
      <c r="B7" s="7" t="s">
        <v>229</v>
      </c>
      <c r="C7" s="9">
        <v>243394.87</v>
      </c>
      <c r="D7" s="8">
        <v>110000</v>
      </c>
      <c r="E7" s="8">
        <v>251072.02</v>
      </c>
      <c r="F7" s="8">
        <f>D7-E7</f>
        <v>-141072.02</v>
      </c>
      <c r="G7" s="8">
        <v>112500</v>
      </c>
      <c r="H7" s="8"/>
      <c r="I7" s="8">
        <f>SUM(G7:H7)</f>
        <v>112500</v>
      </c>
    </row>
    <row r="8" spans="1:9" ht="12.75">
      <c r="A8" s="6"/>
      <c r="B8" s="7" t="s">
        <v>230</v>
      </c>
      <c r="C8" s="9">
        <v>0</v>
      </c>
      <c r="D8" s="8">
        <v>111500</v>
      </c>
      <c r="E8" s="8"/>
      <c r="F8" s="8">
        <f aca="true" t="shared" si="0" ref="F8:F13">D8-E8</f>
        <v>111500</v>
      </c>
      <c r="G8" s="8">
        <v>86000</v>
      </c>
      <c r="H8" s="8"/>
      <c r="I8" s="8">
        <f aca="true" t="shared" si="1" ref="I8:I13">SUM(G8:H8)</f>
        <v>86000</v>
      </c>
    </row>
    <row r="9" spans="1:9" ht="12.75">
      <c r="A9" s="6"/>
      <c r="B9" s="7" t="s">
        <v>163</v>
      </c>
      <c r="C9" s="9">
        <v>124941.42</v>
      </c>
      <c r="D9" s="8">
        <v>123771</v>
      </c>
      <c r="E9" s="8">
        <v>101679.44</v>
      </c>
      <c r="F9" s="8">
        <f t="shared" si="0"/>
        <v>22091.559999999998</v>
      </c>
      <c r="G9" s="8">
        <v>124521</v>
      </c>
      <c r="H9" s="8"/>
      <c r="I9" s="8">
        <f t="shared" si="1"/>
        <v>124521</v>
      </c>
    </row>
    <row r="10" spans="1:9" ht="12.75">
      <c r="A10" s="6"/>
      <c r="B10" s="7" t="s">
        <v>164</v>
      </c>
      <c r="C10" s="9">
        <v>15577.06</v>
      </c>
      <c r="D10" s="8">
        <v>8000</v>
      </c>
      <c r="E10" s="8">
        <v>21246.4</v>
      </c>
      <c r="F10" s="8">
        <f t="shared" si="0"/>
        <v>-13246.400000000001</v>
      </c>
      <c r="G10" s="8">
        <v>15000</v>
      </c>
      <c r="H10" s="8"/>
      <c r="I10" s="8">
        <f t="shared" si="1"/>
        <v>15000</v>
      </c>
    </row>
    <row r="11" spans="1:9" ht="12.75">
      <c r="A11" s="6"/>
      <c r="B11" s="7" t="s">
        <v>165</v>
      </c>
      <c r="C11" s="9">
        <v>24453.74</v>
      </c>
      <c r="D11" s="8">
        <v>19301</v>
      </c>
      <c r="E11" s="8">
        <v>49906.99</v>
      </c>
      <c r="F11" s="8">
        <f t="shared" si="0"/>
        <v>-30605.989999999998</v>
      </c>
      <c r="G11" s="8">
        <v>33000</v>
      </c>
      <c r="H11" s="8"/>
      <c r="I11" s="8">
        <f t="shared" si="1"/>
        <v>33000</v>
      </c>
    </row>
    <row r="12" spans="1:9" ht="12.75">
      <c r="A12" s="6"/>
      <c r="B12" s="7" t="s">
        <v>270</v>
      </c>
      <c r="C12" s="9">
        <v>6888.15</v>
      </c>
      <c r="D12" s="8">
        <v>6000</v>
      </c>
      <c r="E12" s="8">
        <v>15276.98</v>
      </c>
      <c r="F12" s="8">
        <f t="shared" si="0"/>
        <v>-9276.98</v>
      </c>
      <c r="G12" s="8">
        <v>0</v>
      </c>
      <c r="H12" s="8"/>
      <c r="I12" s="8">
        <f t="shared" si="1"/>
        <v>0</v>
      </c>
    </row>
    <row r="13" spans="1:9" ht="12.75">
      <c r="A13" s="6"/>
      <c r="B13" s="7" t="s">
        <v>167</v>
      </c>
      <c r="C13" s="9">
        <v>6972.15</v>
      </c>
      <c r="D13" s="8">
        <v>7482.5</v>
      </c>
      <c r="E13" s="8">
        <v>5617.28</v>
      </c>
      <c r="F13" s="8">
        <f t="shared" si="0"/>
        <v>1865.2200000000003</v>
      </c>
      <c r="G13" s="8">
        <v>8700</v>
      </c>
      <c r="H13" s="8"/>
      <c r="I13" s="8">
        <f t="shared" si="1"/>
        <v>8700</v>
      </c>
    </row>
    <row r="14" spans="1:9" s="73" customFormat="1" ht="13.5" thickBot="1">
      <c r="A14" s="18"/>
      <c r="B14" s="11" t="s">
        <v>9</v>
      </c>
      <c r="C14" s="72">
        <f aca="true" t="shared" si="2" ref="C14:I14">SUM(C7:C13)</f>
        <v>422227.39</v>
      </c>
      <c r="D14" s="72">
        <f t="shared" si="2"/>
        <v>386054.5</v>
      </c>
      <c r="E14" s="72">
        <f t="shared" si="2"/>
        <v>444799.11</v>
      </c>
      <c r="F14" s="72">
        <f t="shared" si="2"/>
        <v>-58744.609999999986</v>
      </c>
      <c r="G14" s="72">
        <f t="shared" si="2"/>
        <v>379721</v>
      </c>
      <c r="H14" s="72">
        <f t="shared" si="2"/>
        <v>0</v>
      </c>
      <c r="I14" s="72">
        <f t="shared" si="2"/>
        <v>379721</v>
      </c>
    </row>
    <row r="15" spans="1:9" ht="13.5" thickBot="1">
      <c r="A15" s="3" t="s">
        <v>168</v>
      </c>
      <c r="B15" s="4" t="s">
        <v>169</v>
      </c>
      <c r="C15" s="5"/>
      <c r="D15" s="5"/>
      <c r="E15" s="5"/>
      <c r="F15" s="5"/>
      <c r="G15" s="5"/>
      <c r="H15" s="5"/>
      <c r="I15" s="5"/>
    </row>
    <row r="16" spans="1:9" ht="12.75">
      <c r="A16" s="6"/>
      <c r="B16" s="13" t="s">
        <v>170</v>
      </c>
      <c r="C16" s="15">
        <v>217623.94</v>
      </c>
      <c r="D16" s="14">
        <v>220577</v>
      </c>
      <c r="E16" s="14">
        <v>173784</v>
      </c>
      <c r="F16" s="8">
        <f aca="true" t="shared" si="3" ref="F16:F29">D16-E16</f>
        <v>46793</v>
      </c>
      <c r="G16" s="14">
        <v>233429</v>
      </c>
      <c r="H16" s="14"/>
      <c r="I16" s="8">
        <f aca="true" t="shared" si="4" ref="I16:I29">SUM(G16:H16)</f>
        <v>233429</v>
      </c>
    </row>
    <row r="17" spans="1:9" ht="12.75">
      <c r="A17" s="6"/>
      <c r="B17" s="13" t="s">
        <v>231</v>
      </c>
      <c r="C17" s="15">
        <v>187640.52</v>
      </c>
      <c r="D17" s="14">
        <v>216039</v>
      </c>
      <c r="E17" s="14">
        <v>151431.92</v>
      </c>
      <c r="F17" s="8">
        <f t="shared" si="3"/>
        <v>64607.07999999999</v>
      </c>
      <c r="G17" s="14">
        <v>215014</v>
      </c>
      <c r="H17" s="14">
        <v>-43556</v>
      </c>
      <c r="I17" s="8">
        <f t="shared" si="4"/>
        <v>171458</v>
      </c>
    </row>
    <row r="18" spans="1:9" ht="12.75">
      <c r="A18" s="6"/>
      <c r="B18" s="13" t="s">
        <v>232</v>
      </c>
      <c r="C18" s="15">
        <v>23705.22</v>
      </c>
      <c r="D18" s="14">
        <v>30521</v>
      </c>
      <c r="E18" s="14">
        <v>18748.8</v>
      </c>
      <c r="F18" s="8">
        <f t="shared" si="3"/>
        <v>11772.2</v>
      </c>
      <c r="G18" s="14">
        <v>62259</v>
      </c>
      <c r="H18" s="14"/>
      <c r="I18" s="8">
        <f t="shared" si="4"/>
        <v>62259</v>
      </c>
    </row>
    <row r="19" spans="1:9" ht="12.75">
      <c r="A19" s="6"/>
      <c r="B19" s="13" t="s">
        <v>233</v>
      </c>
      <c r="C19" s="15">
        <v>491009.22</v>
      </c>
      <c r="D19" s="14">
        <v>546510</v>
      </c>
      <c r="E19" s="14">
        <v>365348.73</v>
      </c>
      <c r="F19" s="8">
        <f t="shared" si="3"/>
        <v>181161.27000000002</v>
      </c>
      <c r="G19" s="14">
        <v>527692</v>
      </c>
      <c r="H19" s="14"/>
      <c r="I19" s="8">
        <f t="shared" si="4"/>
        <v>527692</v>
      </c>
    </row>
    <row r="20" spans="1:9" ht="12.75">
      <c r="A20" s="6"/>
      <c r="B20" s="13" t="s">
        <v>234</v>
      </c>
      <c r="C20" s="15">
        <v>314867.9</v>
      </c>
      <c r="D20" s="14">
        <v>301766</v>
      </c>
      <c r="E20" s="14">
        <v>266839.06</v>
      </c>
      <c r="F20" s="8">
        <f t="shared" si="3"/>
        <v>34926.94</v>
      </c>
      <c r="G20" s="14">
        <v>357825</v>
      </c>
      <c r="H20" s="14"/>
      <c r="I20" s="8">
        <f t="shared" si="4"/>
        <v>357825</v>
      </c>
    </row>
    <row r="21" spans="1:9" ht="12.75">
      <c r="A21" s="6"/>
      <c r="B21" s="13" t="s">
        <v>235</v>
      </c>
      <c r="C21" s="15">
        <v>355891.27</v>
      </c>
      <c r="D21" s="14">
        <v>435127</v>
      </c>
      <c r="E21" s="14">
        <v>320383.66</v>
      </c>
      <c r="F21" s="8">
        <f t="shared" si="3"/>
        <v>114743.34000000003</v>
      </c>
      <c r="G21" s="14">
        <v>412373</v>
      </c>
      <c r="H21" s="14"/>
      <c r="I21" s="8">
        <f t="shared" si="4"/>
        <v>412373</v>
      </c>
    </row>
    <row r="22" spans="1:9" ht="12.75">
      <c r="A22" s="6"/>
      <c r="B22" s="13" t="s">
        <v>236</v>
      </c>
      <c r="C22" s="15">
        <v>485508.47</v>
      </c>
      <c r="D22" s="14">
        <v>529787</v>
      </c>
      <c r="E22" s="14">
        <v>337706.2</v>
      </c>
      <c r="F22" s="8">
        <f t="shared" si="3"/>
        <v>192080.8</v>
      </c>
      <c r="G22" s="14">
        <v>532392</v>
      </c>
      <c r="H22" s="14"/>
      <c r="I22" s="8">
        <f t="shared" si="4"/>
        <v>532392</v>
      </c>
    </row>
    <row r="23" spans="1:9" ht="12.75">
      <c r="A23" s="6"/>
      <c r="B23" s="13" t="s">
        <v>237</v>
      </c>
      <c r="C23" s="15">
        <v>424216.34</v>
      </c>
      <c r="D23" s="14">
        <v>434998</v>
      </c>
      <c r="E23" s="14">
        <v>351755.44</v>
      </c>
      <c r="F23" s="8">
        <f t="shared" si="3"/>
        <v>83242.56</v>
      </c>
      <c r="G23" s="14">
        <v>486722</v>
      </c>
      <c r="H23" s="14"/>
      <c r="I23" s="8">
        <f t="shared" si="4"/>
        <v>486722</v>
      </c>
    </row>
    <row r="24" spans="1:9" ht="12.75">
      <c r="A24" s="6"/>
      <c r="B24" s="13" t="s">
        <v>271</v>
      </c>
      <c r="C24" s="15">
        <v>106501.41</v>
      </c>
      <c r="D24" s="14">
        <v>115969</v>
      </c>
      <c r="E24" s="14">
        <v>61138.87</v>
      </c>
      <c r="F24" s="8">
        <f t="shared" si="3"/>
        <v>54830.13</v>
      </c>
      <c r="G24" s="14">
        <v>64948</v>
      </c>
      <c r="H24" s="14"/>
      <c r="I24" s="8">
        <f t="shared" si="4"/>
        <v>64948</v>
      </c>
    </row>
    <row r="25" spans="1:9" ht="12.75">
      <c r="A25" s="6"/>
      <c r="B25" s="13" t="s">
        <v>272</v>
      </c>
      <c r="C25" s="15">
        <v>21962.64</v>
      </c>
      <c r="D25" s="14">
        <v>0</v>
      </c>
      <c r="E25" s="14">
        <v>17322.88</v>
      </c>
      <c r="F25" s="8">
        <f t="shared" si="3"/>
        <v>-17322.88</v>
      </c>
      <c r="G25" s="14">
        <v>0</v>
      </c>
      <c r="H25" s="14"/>
      <c r="I25" s="8">
        <f t="shared" si="4"/>
        <v>0</v>
      </c>
    </row>
    <row r="26" spans="1:9" ht="12.75">
      <c r="A26" s="6"/>
      <c r="B26" s="13" t="s">
        <v>273</v>
      </c>
      <c r="C26" s="15">
        <v>6822.97</v>
      </c>
      <c r="D26" s="14">
        <v>27904</v>
      </c>
      <c r="E26" s="14">
        <f>24364.28+3539.4</f>
        <v>27903.68</v>
      </c>
      <c r="F26" s="8">
        <f t="shared" si="3"/>
        <v>0.31999999999970896</v>
      </c>
      <c r="G26" s="14">
        <v>82216</v>
      </c>
      <c r="H26" s="14"/>
      <c r="I26" s="8">
        <f t="shared" si="4"/>
        <v>82216</v>
      </c>
    </row>
    <row r="27" spans="1:9" ht="12.75">
      <c r="A27" s="6"/>
      <c r="B27" s="7" t="s">
        <v>173</v>
      </c>
      <c r="C27" s="9">
        <v>63014.07</v>
      </c>
      <c r="D27" s="8">
        <v>64905</v>
      </c>
      <c r="E27" s="8">
        <v>48932.1</v>
      </c>
      <c r="F27" s="8">
        <f t="shared" si="3"/>
        <v>15972.900000000001</v>
      </c>
      <c r="G27" s="8">
        <v>66199</v>
      </c>
      <c r="H27" s="8"/>
      <c r="I27" s="8">
        <f t="shared" si="4"/>
        <v>66199</v>
      </c>
    </row>
    <row r="28" spans="1:9" ht="12.75">
      <c r="A28" s="6"/>
      <c r="B28" s="7" t="s">
        <v>174</v>
      </c>
      <c r="C28" s="9">
        <v>50245.95</v>
      </c>
      <c r="D28" s="17">
        <v>13247</v>
      </c>
      <c r="E28" s="17">
        <v>13247.2</v>
      </c>
      <c r="F28" s="8">
        <f t="shared" si="3"/>
        <v>-0.2000000000007276</v>
      </c>
      <c r="G28" s="17">
        <v>0</v>
      </c>
      <c r="H28" s="17"/>
      <c r="I28" s="8">
        <f t="shared" si="4"/>
        <v>0</v>
      </c>
    </row>
    <row r="29" spans="1:9" ht="12.75">
      <c r="A29" s="6"/>
      <c r="B29" s="7" t="s">
        <v>175</v>
      </c>
      <c r="C29" s="9">
        <v>0</v>
      </c>
      <c r="D29" s="17">
        <v>0</v>
      </c>
      <c r="E29" s="17"/>
      <c r="F29" s="8">
        <f t="shared" si="3"/>
        <v>0</v>
      </c>
      <c r="G29" s="17">
        <v>0</v>
      </c>
      <c r="H29" s="17"/>
      <c r="I29" s="8">
        <f t="shared" si="4"/>
        <v>0</v>
      </c>
    </row>
    <row r="30" spans="1:9" s="73" customFormat="1" ht="13.5" thickBot="1">
      <c r="A30" s="18"/>
      <c r="B30" s="11" t="s">
        <v>9</v>
      </c>
      <c r="C30" s="72">
        <f aca="true" t="shared" si="5" ref="C30:I30">SUM(C16:C29)</f>
        <v>2749009.9200000004</v>
      </c>
      <c r="D30" s="72">
        <f t="shared" si="5"/>
        <v>2937350</v>
      </c>
      <c r="E30" s="72">
        <f t="shared" si="5"/>
        <v>2154542.54</v>
      </c>
      <c r="F30" s="72">
        <f t="shared" si="5"/>
        <v>782807.46</v>
      </c>
      <c r="G30" s="72">
        <f t="shared" si="5"/>
        <v>3041069</v>
      </c>
      <c r="H30" s="72">
        <f t="shared" si="5"/>
        <v>-43556</v>
      </c>
      <c r="I30" s="72">
        <f t="shared" si="5"/>
        <v>2997513</v>
      </c>
    </row>
    <row r="31" spans="1:9" ht="13.5" thickBot="1">
      <c r="A31" s="3" t="s">
        <v>38</v>
      </c>
      <c r="B31" s="65" t="s">
        <v>176</v>
      </c>
      <c r="C31" s="5"/>
      <c r="D31" s="5"/>
      <c r="E31" s="5"/>
      <c r="F31" s="5"/>
      <c r="G31" s="5"/>
      <c r="H31" s="5"/>
      <c r="I31" s="5"/>
    </row>
    <row r="32" spans="1:9" ht="12.75">
      <c r="A32" s="6"/>
      <c r="B32" s="13" t="s">
        <v>177</v>
      </c>
      <c r="C32" s="15">
        <v>578766.96</v>
      </c>
      <c r="D32" s="14">
        <v>616445</v>
      </c>
      <c r="E32" s="14">
        <v>413566.7</v>
      </c>
      <c r="F32" s="8">
        <f>D32-E32</f>
        <v>202878.3</v>
      </c>
      <c r="G32" s="14">
        <v>640762</v>
      </c>
      <c r="H32" s="14">
        <v>-16088</v>
      </c>
      <c r="I32" s="8">
        <f>SUM(G32:H32)</f>
        <v>624674</v>
      </c>
    </row>
    <row r="33" spans="1:9" ht="12.75">
      <c r="A33" s="6"/>
      <c r="B33" s="13" t="s">
        <v>242</v>
      </c>
      <c r="C33" s="74">
        <v>0</v>
      </c>
      <c r="D33" s="14">
        <v>0</v>
      </c>
      <c r="E33" s="14"/>
      <c r="F33" s="8">
        <f>D33-E33</f>
        <v>0</v>
      </c>
      <c r="G33" s="14">
        <v>0</v>
      </c>
      <c r="H33" s="14"/>
      <c r="I33" s="8">
        <f>SUM(G33:H33)</f>
        <v>0</v>
      </c>
    </row>
    <row r="34" spans="1:9" ht="12.75">
      <c r="A34" s="6"/>
      <c r="B34" s="13" t="s">
        <v>217</v>
      </c>
      <c r="C34" s="74">
        <v>0</v>
      </c>
      <c r="D34" s="14">
        <v>0</v>
      </c>
      <c r="E34" s="14"/>
      <c r="F34" s="8">
        <f>D34-E34</f>
        <v>0</v>
      </c>
      <c r="G34" s="14">
        <v>0</v>
      </c>
      <c r="H34" s="14"/>
      <c r="I34" s="8">
        <f>SUM(G34:H34)</f>
        <v>0</v>
      </c>
    </row>
    <row r="35" spans="1:9" ht="12.75">
      <c r="A35" s="76"/>
      <c r="B35" s="75" t="s">
        <v>180</v>
      </c>
      <c r="C35" s="77">
        <v>0</v>
      </c>
      <c r="D35" s="78"/>
      <c r="E35" s="78"/>
      <c r="F35" s="8">
        <f>D35-E35</f>
        <v>0</v>
      </c>
      <c r="G35" s="78">
        <v>45290</v>
      </c>
      <c r="H35" s="78"/>
      <c r="I35" s="8">
        <f>SUM(G35:H35)</f>
        <v>45290</v>
      </c>
    </row>
    <row r="36" spans="1:9" s="73" customFormat="1" ht="13.5" thickBot="1">
      <c r="A36" s="6"/>
      <c r="B36" s="37" t="s">
        <v>9</v>
      </c>
      <c r="C36" s="79">
        <f aca="true" t="shared" si="6" ref="C36:I36">SUM(C32:C35)</f>
        <v>578766.96</v>
      </c>
      <c r="D36" s="79">
        <f t="shared" si="6"/>
        <v>616445</v>
      </c>
      <c r="E36" s="79">
        <f t="shared" si="6"/>
        <v>413566.7</v>
      </c>
      <c r="F36" s="79">
        <f t="shared" si="6"/>
        <v>202878.3</v>
      </c>
      <c r="G36" s="79">
        <f t="shared" si="6"/>
        <v>686052</v>
      </c>
      <c r="H36" s="79">
        <f t="shared" si="6"/>
        <v>-16088</v>
      </c>
      <c r="I36" s="79">
        <f t="shared" si="6"/>
        <v>669964</v>
      </c>
    </row>
    <row r="37" spans="1:9" ht="13.5" thickBot="1">
      <c r="A37" s="3" t="s">
        <v>48</v>
      </c>
      <c r="B37" s="4" t="s">
        <v>181</v>
      </c>
      <c r="C37" s="5"/>
      <c r="D37" s="5"/>
      <c r="E37" s="5"/>
      <c r="F37" s="5"/>
      <c r="G37" s="5"/>
      <c r="H37" s="5"/>
      <c r="I37" s="5"/>
    </row>
    <row r="38" spans="1:9" ht="12.75">
      <c r="A38" s="6"/>
      <c r="B38" s="13" t="s">
        <v>182</v>
      </c>
      <c r="C38" s="15">
        <v>105926.83</v>
      </c>
      <c r="D38" s="14">
        <v>131202</v>
      </c>
      <c r="E38" s="14">
        <v>96533.14</v>
      </c>
      <c r="F38" s="8">
        <f>D38-E38</f>
        <v>34668.86</v>
      </c>
      <c r="G38" s="14">
        <v>131302</v>
      </c>
      <c r="H38" s="14"/>
      <c r="I38" s="8">
        <f>SUM(G38:H38)</f>
        <v>131302</v>
      </c>
    </row>
    <row r="39" spans="1:9" s="73" customFormat="1" ht="13.5" thickBot="1">
      <c r="A39" s="10"/>
      <c r="B39" s="11" t="s">
        <v>9</v>
      </c>
      <c r="C39" s="72">
        <f aca="true" t="shared" si="7" ref="C39:I39">SUM(C38)</f>
        <v>105926.83</v>
      </c>
      <c r="D39" s="72">
        <f t="shared" si="7"/>
        <v>131202</v>
      </c>
      <c r="E39" s="72">
        <f t="shared" si="7"/>
        <v>96533.14</v>
      </c>
      <c r="F39" s="72">
        <f t="shared" si="7"/>
        <v>34668.86</v>
      </c>
      <c r="G39" s="72">
        <f t="shared" si="7"/>
        <v>131302</v>
      </c>
      <c r="H39" s="72">
        <f t="shared" si="7"/>
        <v>0</v>
      </c>
      <c r="I39" s="72">
        <f t="shared" si="7"/>
        <v>131302</v>
      </c>
    </row>
    <row r="40" spans="1:9" ht="13.5" thickBot="1">
      <c r="A40" s="3" t="s">
        <v>49</v>
      </c>
      <c r="B40" s="4" t="s">
        <v>183</v>
      </c>
      <c r="C40" s="5"/>
      <c r="D40" s="5"/>
      <c r="E40" s="5"/>
      <c r="F40" s="5"/>
      <c r="G40" s="5"/>
      <c r="H40" s="5"/>
      <c r="I40" s="5"/>
    </row>
    <row r="41" spans="1:9" ht="12.75">
      <c r="A41" s="6"/>
      <c r="B41" s="13" t="s">
        <v>184</v>
      </c>
      <c r="C41" s="15">
        <v>160981.26</v>
      </c>
      <c r="D41" s="14">
        <v>197956</v>
      </c>
      <c r="E41" s="14">
        <v>184032.07</v>
      </c>
      <c r="F41" s="8">
        <f>D41-E41</f>
        <v>13923.929999999993</v>
      </c>
      <c r="G41" s="14">
        <v>222329</v>
      </c>
      <c r="H41" s="14">
        <v>-102852</v>
      </c>
      <c r="I41" s="8">
        <f>SUM(G41:H41)</f>
        <v>119477</v>
      </c>
    </row>
    <row r="42" spans="1:9" ht="12.75">
      <c r="A42" s="6"/>
      <c r="B42" s="13" t="s">
        <v>185</v>
      </c>
      <c r="C42" s="15">
        <v>0</v>
      </c>
      <c r="D42" s="14">
        <v>0</v>
      </c>
      <c r="E42" s="14"/>
      <c r="F42" s="8">
        <f>D42-E42</f>
        <v>0</v>
      </c>
      <c r="G42" s="14">
        <v>0</v>
      </c>
      <c r="H42" s="14"/>
      <c r="I42" s="8">
        <f>SUM(G42:H42)</f>
        <v>0</v>
      </c>
    </row>
    <row r="43" spans="1:9" ht="12.75">
      <c r="A43" s="6"/>
      <c r="B43" s="7" t="s">
        <v>218</v>
      </c>
      <c r="C43" s="9">
        <v>33213.9</v>
      </c>
      <c r="D43" s="8">
        <v>29648</v>
      </c>
      <c r="E43" s="8">
        <v>26153.45</v>
      </c>
      <c r="F43" s="8">
        <f>D43-E43</f>
        <v>3494.5499999999993</v>
      </c>
      <c r="G43" s="8">
        <v>29898</v>
      </c>
      <c r="H43" s="8"/>
      <c r="I43" s="8">
        <f>SUM(G43:H43)</f>
        <v>29898</v>
      </c>
    </row>
    <row r="44" spans="1:9" s="73" customFormat="1" ht="13.5" thickBot="1">
      <c r="A44" s="10"/>
      <c r="B44" s="11" t="s">
        <v>9</v>
      </c>
      <c r="C44" s="80">
        <f aca="true" t="shared" si="8" ref="C44:I44">SUM(C41:C43)</f>
        <v>194195.16</v>
      </c>
      <c r="D44" s="80">
        <f t="shared" si="8"/>
        <v>227604</v>
      </c>
      <c r="E44" s="80">
        <f t="shared" si="8"/>
        <v>210185.52000000002</v>
      </c>
      <c r="F44" s="80">
        <f t="shared" si="8"/>
        <v>17418.479999999992</v>
      </c>
      <c r="G44" s="80">
        <f t="shared" si="8"/>
        <v>252227</v>
      </c>
      <c r="H44" s="80">
        <f t="shared" si="8"/>
        <v>-102852</v>
      </c>
      <c r="I44" s="80">
        <f t="shared" si="8"/>
        <v>149375</v>
      </c>
    </row>
    <row r="45" spans="1:9" ht="13.5" thickBot="1">
      <c r="A45" s="3" t="s">
        <v>51</v>
      </c>
      <c r="B45" s="4" t="s">
        <v>186</v>
      </c>
      <c r="C45" s="5"/>
      <c r="D45" s="5"/>
      <c r="E45" s="5"/>
      <c r="F45" s="5"/>
      <c r="G45" s="5"/>
      <c r="H45" s="5"/>
      <c r="I45" s="5"/>
    </row>
    <row r="46" spans="1:9" ht="12.75">
      <c r="A46" s="6"/>
      <c r="B46" s="7" t="s">
        <v>187</v>
      </c>
      <c r="C46" s="9">
        <v>2360</v>
      </c>
      <c r="D46" s="8">
        <v>8000</v>
      </c>
      <c r="E46" s="8">
        <v>8209.88</v>
      </c>
      <c r="F46" s="8">
        <f>D46-E46</f>
        <v>-209.8799999999992</v>
      </c>
      <c r="G46" s="8">
        <v>0</v>
      </c>
      <c r="H46" s="8"/>
      <c r="I46" s="8">
        <f>SUM(G46:H46)</f>
        <v>0</v>
      </c>
    </row>
    <row r="47" spans="1:9" ht="12.75">
      <c r="A47" s="6"/>
      <c r="B47" s="7" t="s">
        <v>166</v>
      </c>
      <c r="C47" s="9">
        <v>15024.7</v>
      </c>
      <c r="D47" s="8">
        <v>0</v>
      </c>
      <c r="E47" s="8">
        <v>2180.91</v>
      </c>
      <c r="F47" s="8">
        <f>D47-E47</f>
        <v>-2180.91</v>
      </c>
      <c r="G47" s="8">
        <v>0</v>
      </c>
      <c r="H47" s="8"/>
      <c r="I47" s="8">
        <f>SUM(G47:H47)</f>
        <v>0</v>
      </c>
    </row>
    <row r="48" spans="1:9" ht="12.75">
      <c r="A48" s="6"/>
      <c r="B48" s="7" t="s">
        <v>261</v>
      </c>
      <c r="C48" s="9">
        <v>10841</v>
      </c>
      <c r="D48" s="8">
        <v>11000</v>
      </c>
      <c r="E48" s="8">
        <v>10819</v>
      </c>
      <c r="F48" s="8">
        <f>D48-E48</f>
        <v>181</v>
      </c>
      <c r="G48" s="8">
        <v>0</v>
      </c>
      <c r="H48" s="8"/>
      <c r="I48" s="8">
        <f>SUM(G48:H48)</f>
        <v>0</v>
      </c>
    </row>
    <row r="49" spans="1:9" ht="12.75">
      <c r="A49" s="6"/>
      <c r="B49" s="7" t="s">
        <v>274</v>
      </c>
      <c r="C49" s="9">
        <v>50534.01</v>
      </c>
      <c r="D49" s="8">
        <v>20000</v>
      </c>
      <c r="E49" s="8">
        <v>20103.79</v>
      </c>
      <c r="F49" s="8">
        <f>D49-E49</f>
        <v>-103.79000000000087</v>
      </c>
      <c r="G49" s="8">
        <v>8500</v>
      </c>
      <c r="H49" s="8"/>
      <c r="I49" s="8">
        <f>SUM(G49:H49)</f>
        <v>8500</v>
      </c>
    </row>
    <row r="50" spans="1:9" s="73" customFormat="1" ht="13.5" thickBot="1">
      <c r="A50" s="23"/>
      <c r="B50" s="24" t="s">
        <v>9</v>
      </c>
      <c r="C50" s="81">
        <f aca="true" t="shared" si="9" ref="C50:I50">SUM(C46:C49)</f>
        <v>78759.71</v>
      </c>
      <c r="D50" s="81">
        <f t="shared" si="9"/>
        <v>39000</v>
      </c>
      <c r="E50" s="81">
        <f t="shared" si="9"/>
        <v>41313.58</v>
      </c>
      <c r="F50" s="81">
        <f t="shared" si="9"/>
        <v>-2313.58</v>
      </c>
      <c r="G50" s="81">
        <f t="shared" si="9"/>
        <v>8500</v>
      </c>
      <c r="H50" s="81">
        <f t="shared" si="9"/>
        <v>0</v>
      </c>
      <c r="I50" s="81">
        <f t="shared" si="9"/>
        <v>8500</v>
      </c>
    </row>
    <row r="51" spans="1:9" ht="13.5" thickBot="1">
      <c r="A51" s="43" t="s">
        <v>54</v>
      </c>
      <c r="B51" s="4" t="s">
        <v>55</v>
      </c>
      <c r="C51" s="5"/>
      <c r="D51" s="5"/>
      <c r="E51" s="81">
        <f>SUM(E48:E50)</f>
        <v>72236.37</v>
      </c>
      <c r="F51" s="81">
        <f>SUM(F48:F50)</f>
        <v>-2236.370000000001</v>
      </c>
      <c r="G51" s="81">
        <f>SUM(G48:G50)</f>
        <v>17000</v>
      </c>
      <c r="H51" s="81">
        <f>SUM(H48:H50)</f>
        <v>0</v>
      </c>
      <c r="I51" s="81">
        <f>SUM(I48:I50)</f>
        <v>17000</v>
      </c>
    </row>
    <row r="52" spans="1:9" ht="12.75">
      <c r="A52" s="6"/>
      <c r="B52" s="7" t="s">
        <v>243</v>
      </c>
      <c r="C52" s="15">
        <v>1958.44</v>
      </c>
      <c r="D52" s="8">
        <v>500</v>
      </c>
      <c r="E52" s="8">
        <v>550.4</v>
      </c>
      <c r="F52" s="8">
        <f aca="true" t="shared" si="10" ref="F52:F75">D52-E52</f>
        <v>-50.39999999999998</v>
      </c>
      <c r="G52" s="8">
        <v>5000</v>
      </c>
      <c r="H52" s="8"/>
      <c r="I52" s="8">
        <f aca="true" t="shared" si="11" ref="I52:I75">SUM(G52:H52)</f>
        <v>5000</v>
      </c>
    </row>
    <row r="53" spans="1:9" ht="12.75">
      <c r="A53" s="6"/>
      <c r="B53" s="7" t="s">
        <v>244</v>
      </c>
      <c r="C53" s="15">
        <v>0</v>
      </c>
      <c r="D53" s="8">
        <v>2000</v>
      </c>
      <c r="E53" s="8"/>
      <c r="F53" s="8">
        <f t="shared" si="10"/>
        <v>2000</v>
      </c>
      <c r="G53" s="8">
        <v>0</v>
      </c>
      <c r="H53" s="8"/>
      <c r="I53" s="8">
        <f t="shared" si="11"/>
        <v>0</v>
      </c>
    </row>
    <row r="54" spans="1:9" ht="12.75">
      <c r="A54" s="6"/>
      <c r="B54" s="7" t="s">
        <v>245</v>
      </c>
      <c r="C54" s="15">
        <v>7644.68</v>
      </c>
      <c r="D54" s="8">
        <v>0</v>
      </c>
      <c r="E54" s="8"/>
      <c r="F54" s="8">
        <f t="shared" si="10"/>
        <v>0</v>
      </c>
      <c r="G54" s="8">
        <v>12000</v>
      </c>
      <c r="H54" s="8"/>
      <c r="I54" s="8">
        <f t="shared" si="11"/>
        <v>12000</v>
      </c>
    </row>
    <row r="55" spans="1:9" ht="12.75">
      <c r="A55" s="6"/>
      <c r="B55" s="7" t="s">
        <v>246</v>
      </c>
      <c r="C55" s="15">
        <v>10970.31</v>
      </c>
      <c r="D55" s="8">
        <v>0</v>
      </c>
      <c r="E55" s="8"/>
      <c r="F55" s="8">
        <f t="shared" si="10"/>
        <v>0</v>
      </c>
      <c r="G55" s="8">
        <v>10000</v>
      </c>
      <c r="H55" s="8"/>
      <c r="I55" s="8">
        <f t="shared" si="11"/>
        <v>10000</v>
      </c>
    </row>
    <row r="56" spans="1:9" ht="12.75">
      <c r="A56" s="6"/>
      <c r="B56" s="7" t="s">
        <v>247</v>
      </c>
      <c r="C56" s="15">
        <v>21610.71</v>
      </c>
      <c r="D56" s="8">
        <v>0</v>
      </c>
      <c r="E56" s="8"/>
      <c r="F56" s="8">
        <f t="shared" si="10"/>
        <v>0</v>
      </c>
      <c r="G56" s="8">
        <v>6000</v>
      </c>
      <c r="H56" s="8"/>
      <c r="I56" s="8">
        <f t="shared" si="11"/>
        <v>6000</v>
      </c>
    </row>
    <row r="57" spans="1:9" ht="12.75">
      <c r="A57" s="6"/>
      <c r="B57" s="7" t="s">
        <v>248</v>
      </c>
      <c r="C57" s="15">
        <v>0</v>
      </c>
      <c r="D57" s="8">
        <v>0</v>
      </c>
      <c r="E57" s="8"/>
      <c r="F57" s="8">
        <f t="shared" si="10"/>
        <v>0</v>
      </c>
      <c r="G57" s="8">
        <v>0</v>
      </c>
      <c r="H57" s="8"/>
      <c r="I57" s="8">
        <f t="shared" si="11"/>
        <v>0</v>
      </c>
    </row>
    <row r="58" spans="1:9" ht="12.75">
      <c r="A58" s="6"/>
      <c r="B58" s="7" t="s">
        <v>249</v>
      </c>
      <c r="C58" s="15">
        <v>2296.09</v>
      </c>
      <c r="D58" s="8">
        <v>0</v>
      </c>
      <c r="E58" s="8">
        <v>11550.09</v>
      </c>
      <c r="F58" s="8">
        <f t="shared" si="10"/>
        <v>-11550.09</v>
      </c>
      <c r="G58" s="8">
        <v>10000</v>
      </c>
      <c r="H58" s="8"/>
      <c r="I58" s="8">
        <f t="shared" si="11"/>
        <v>10000</v>
      </c>
    </row>
    <row r="59" spans="1:9" ht="12.75">
      <c r="A59" s="6"/>
      <c r="B59" s="7" t="s">
        <v>250</v>
      </c>
      <c r="C59" s="15">
        <v>5996.13</v>
      </c>
      <c r="D59" s="8">
        <v>0</v>
      </c>
      <c r="E59" s="8">
        <v>912.96</v>
      </c>
      <c r="F59" s="8">
        <f t="shared" si="10"/>
        <v>-912.96</v>
      </c>
      <c r="G59" s="8">
        <v>12000</v>
      </c>
      <c r="H59" s="8"/>
      <c r="I59" s="8">
        <f t="shared" si="11"/>
        <v>12000</v>
      </c>
    </row>
    <row r="60" spans="1:9" ht="12.75">
      <c r="A60" s="6"/>
      <c r="B60" s="7" t="s">
        <v>275</v>
      </c>
      <c r="C60" s="15">
        <v>0</v>
      </c>
      <c r="D60" s="8">
        <v>2250</v>
      </c>
      <c r="E60" s="8"/>
      <c r="F60" s="8">
        <f t="shared" si="10"/>
        <v>2250</v>
      </c>
      <c r="G60" s="8">
        <v>0</v>
      </c>
      <c r="H60" s="8"/>
      <c r="I60" s="8">
        <f t="shared" si="11"/>
        <v>0</v>
      </c>
    </row>
    <row r="61" spans="1:9" ht="12.75">
      <c r="A61" s="6"/>
      <c r="B61" s="7" t="s">
        <v>189</v>
      </c>
      <c r="C61" s="15">
        <v>14182.14</v>
      </c>
      <c r="D61" s="8">
        <v>20000</v>
      </c>
      <c r="E61" s="8">
        <v>14574.4</v>
      </c>
      <c r="F61" s="8">
        <f t="shared" si="10"/>
        <v>5425.6</v>
      </c>
      <c r="G61" s="8">
        <v>25000</v>
      </c>
      <c r="H61" s="8"/>
      <c r="I61" s="8">
        <f t="shared" si="11"/>
        <v>25000</v>
      </c>
    </row>
    <row r="62" spans="1:9" ht="12.75">
      <c r="A62" s="6"/>
      <c r="B62" s="7" t="s">
        <v>190</v>
      </c>
      <c r="C62" s="15">
        <v>8192.3</v>
      </c>
      <c r="D62" s="8">
        <v>4679</v>
      </c>
      <c r="E62" s="8">
        <v>6500.75</v>
      </c>
      <c r="F62" s="8">
        <f t="shared" si="10"/>
        <v>-1821.75</v>
      </c>
      <c r="G62" s="8">
        <v>29000</v>
      </c>
      <c r="H62" s="8"/>
      <c r="I62" s="8">
        <f t="shared" si="11"/>
        <v>29000</v>
      </c>
    </row>
    <row r="63" spans="1:9" ht="12.75">
      <c r="A63" s="6"/>
      <c r="B63" s="7" t="s">
        <v>251</v>
      </c>
      <c r="C63" s="9">
        <v>8009.64</v>
      </c>
      <c r="D63" s="8">
        <v>12275</v>
      </c>
      <c r="E63" s="8">
        <v>6301.69</v>
      </c>
      <c r="F63" s="8">
        <f t="shared" si="10"/>
        <v>5973.31</v>
      </c>
      <c r="G63" s="8">
        <v>10000</v>
      </c>
      <c r="H63" s="8"/>
      <c r="I63" s="8">
        <f t="shared" si="11"/>
        <v>10000</v>
      </c>
    </row>
    <row r="64" spans="1:9" ht="12.75">
      <c r="A64" s="6"/>
      <c r="B64" s="7" t="s">
        <v>252</v>
      </c>
      <c r="C64" s="16">
        <v>44718.27</v>
      </c>
      <c r="D64" s="8">
        <v>33696</v>
      </c>
      <c r="E64" s="8">
        <v>1966.86</v>
      </c>
      <c r="F64" s="8">
        <f t="shared" si="10"/>
        <v>31729.14</v>
      </c>
      <c r="G64" s="8">
        <v>0</v>
      </c>
      <c r="H64" s="8"/>
      <c r="I64" s="8">
        <f t="shared" si="11"/>
        <v>0</v>
      </c>
    </row>
    <row r="65" spans="1:9" ht="12.75">
      <c r="A65" s="6"/>
      <c r="B65" s="7" t="s">
        <v>253</v>
      </c>
      <c r="C65" s="16">
        <v>1711.72</v>
      </c>
      <c r="D65" s="8">
        <v>2094</v>
      </c>
      <c r="E65" s="8">
        <v>2310.47</v>
      </c>
      <c r="F65" s="8">
        <f t="shared" si="10"/>
        <v>-216.4699999999998</v>
      </c>
      <c r="G65" s="8">
        <v>2000</v>
      </c>
      <c r="H65" s="8"/>
      <c r="I65" s="8">
        <f t="shared" si="11"/>
        <v>2000</v>
      </c>
    </row>
    <row r="66" spans="1:9" ht="12.75">
      <c r="A66" s="6"/>
      <c r="B66" s="7" t="s">
        <v>254</v>
      </c>
      <c r="C66" s="16">
        <v>4518.16</v>
      </c>
      <c r="D66" s="8">
        <v>3525</v>
      </c>
      <c r="E66" s="8">
        <v>10639.1</v>
      </c>
      <c r="F66" s="8">
        <f t="shared" si="10"/>
        <v>-7114.1</v>
      </c>
      <c r="G66" s="8">
        <v>6000</v>
      </c>
      <c r="H66" s="8"/>
      <c r="I66" s="8">
        <f t="shared" si="11"/>
        <v>6000</v>
      </c>
    </row>
    <row r="67" spans="1:9" ht="12.75">
      <c r="A67" s="6"/>
      <c r="B67" s="7" t="s">
        <v>255</v>
      </c>
      <c r="C67" s="16">
        <v>3986.51</v>
      </c>
      <c r="D67" s="8">
        <v>9761</v>
      </c>
      <c r="E67" s="8"/>
      <c r="F67" s="8">
        <f t="shared" si="10"/>
        <v>9761</v>
      </c>
      <c r="G67" s="8">
        <v>6000</v>
      </c>
      <c r="H67" s="8"/>
      <c r="I67" s="8">
        <f t="shared" si="11"/>
        <v>6000</v>
      </c>
    </row>
    <row r="68" spans="1:9" ht="12.75">
      <c r="A68" s="6"/>
      <c r="B68" s="7" t="s">
        <v>256</v>
      </c>
      <c r="C68" s="16">
        <v>0</v>
      </c>
      <c r="D68" s="8">
        <v>0</v>
      </c>
      <c r="E68" s="8"/>
      <c r="F68" s="8">
        <f t="shared" si="10"/>
        <v>0</v>
      </c>
      <c r="G68" s="8">
        <v>0</v>
      </c>
      <c r="H68" s="8"/>
      <c r="I68" s="8">
        <f t="shared" si="11"/>
        <v>0</v>
      </c>
    </row>
    <row r="69" spans="1:9" ht="12.75">
      <c r="A69" s="6"/>
      <c r="B69" s="7" t="s">
        <v>257</v>
      </c>
      <c r="C69" s="16">
        <v>0</v>
      </c>
      <c r="D69" s="8">
        <v>500</v>
      </c>
      <c r="E69" s="8"/>
      <c r="F69" s="8">
        <f t="shared" si="10"/>
        <v>500</v>
      </c>
      <c r="G69" s="8">
        <v>0</v>
      </c>
      <c r="H69" s="8"/>
      <c r="I69" s="8">
        <f t="shared" si="11"/>
        <v>0</v>
      </c>
    </row>
    <row r="70" spans="1:9" ht="12.75">
      <c r="A70" s="6"/>
      <c r="B70" s="7" t="s">
        <v>258</v>
      </c>
      <c r="C70" s="16">
        <v>8534.58</v>
      </c>
      <c r="D70" s="8">
        <v>34868</v>
      </c>
      <c r="E70" s="8">
        <v>12947.15</v>
      </c>
      <c r="F70" s="8">
        <f t="shared" si="10"/>
        <v>21920.85</v>
      </c>
      <c r="G70" s="8">
        <v>23000</v>
      </c>
      <c r="H70" s="8"/>
      <c r="I70" s="8">
        <f t="shared" si="11"/>
        <v>23000</v>
      </c>
    </row>
    <row r="71" spans="1:9" ht="12.75">
      <c r="A71" s="6"/>
      <c r="B71" s="7" t="s">
        <v>259</v>
      </c>
      <c r="C71" s="16">
        <v>4391.85</v>
      </c>
      <c r="D71" s="8">
        <v>5625</v>
      </c>
      <c r="E71" s="8">
        <v>15936.08</v>
      </c>
      <c r="F71" s="8">
        <f t="shared" si="10"/>
        <v>-10311.08</v>
      </c>
      <c r="G71" s="8">
        <v>10000</v>
      </c>
      <c r="H71" s="8"/>
      <c r="I71" s="8">
        <f t="shared" si="11"/>
        <v>10000</v>
      </c>
    </row>
    <row r="72" spans="1:9" ht="12.75">
      <c r="A72" s="6"/>
      <c r="B72" s="13" t="s">
        <v>276</v>
      </c>
      <c r="C72" s="60">
        <v>1044.79</v>
      </c>
      <c r="D72" s="14">
        <v>3597</v>
      </c>
      <c r="E72" s="14"/>
      <c r="F72" s="8">
        <f t="shared" si="10"/>
        <v>3597</v>
      </c>
      <c r="G72" s="14">
        <v>0</v>
      </c>
      <c r="H72" s="14"/>
      <c r="I72" s="8">
        <f t="shared" si="11"/>
        <v>0</v>
      </c>
    </row>
    <row r="73" spans="1:9" ht="12.75">
      <c r="A73" s="6"/>
      <c r="B73" s="7" t="s">
        <v>192</v>
      </c>
      <c r="C73" s="9">
        <v>0</v>
      </c>
      <c r="D73" s="8">
        <v>1500</v>
      </c>
      <c r="E73" s="8"/>
      <c r="F73" s="8">
        <f t="shared" si="10"/>
        <v>1500</v>
      </c>
      <c r="G73" s="8">
        <v>0</v>
      </c>
      <c r="H73" s="8"/>
      <c r="I73" s="8">
        <f t="shared" si="11"/>
        <v>0</v>
      </c>
    </row>
    <row r="74" spans="1:9" ht="12.75">
      <c r="A74" s="6"/>
      <c r="B74" s="13" t="s">
        <v>226</v>
      </c>
      <c r="C74" s="60">
        <v>83.72</v>
      </c>
      <c r="D74" s="14">
        <v>400</v>
      </c>
      <c r="E74" s="14"/>
      <c r="F74" s="8">
        <f t="shared" si="10"/>
        <v>400</v>
      </c>
      <c r="G74" s="14">
        <v>410</v>
      </c>
      <c r="H74" s="14"/>
      <c r="I74" s="8">
        <f t="shared" si="11"/>
        <v>410</v>
      </c>
    </row>
    <row r="75" spans="1:9" ht="12.75">
      <c r="A75" s="6"/>
      <c r="B75" s="7" t="s">
        <v>224</v>
      </c>
      <c r="C75" s="9">
        <v>7156</v>
      </c>
      <c r="D75" s="8">
        <v>4500</v>
      </c>
      <c r="E75" s="8">
        <v>11036.88</v>
      </c>
      <c r="F75" s="8">
        <f t="shared" si="10"/>
        <v>-6536.879999999999</v>
      </c>
      <c r="G75" s="8">
        <v>4613</v>
      </c>
      <c r="H75" s="8"/>
      <c r="I75" s="8">
        <f t="shared" si="11"/>
        <v>4613</v>
      </c>
    </row>
    <row r="76" spans="1:9" s="73" customFormat="1" ht="13.5" thickBot="1">
      <c r="A76" s="10"/>
      <c r="B76" s="11" t="s">
        <v>9</v>
      </c>
      <c r="C76" s="80">
        <f aca="true" t="shared" si="12" ref="C76:I76">SUM(C52:C75)</f>
        <v>157006.04</v>
      </c>
      <c r="D76" s="80">
        <f t="shared" si="12"/>
        <v>141770</v>
      </c>
      <c r="E76" s="80">
        <f t="shared" si="12"/>
        <v>95226.83</v>
      </c>
      <c r="F76" s="80">
        <f t="shared" si="12"/>
        <v>46543.17</v>
      </c>
      <c r="G76" s="80">
        <f t="shared" si="12"/>
        <v>171023</v>
      </c>
      <c r="H76" s="80">
        <f t="shared" si="12"/>
        <v>0</v>
      </c>
      <c r="I76" s="80">
        <f t="shared" si="12"/>
        <v>171023</v>
      </c>
    </row>
    <row r="77" spans="1:9" ht="13.5" thickBot="1">
      <c r="A77" s="3" t="s">
        <v>58</v>
      </c>
      <c r="B77" s="4" t="s">
        <v>59</v>
      </c>
      <c r="C77" s="5"/>
      <c r="D77" s="5"/>
      <c r="E77" s="5"/>
      <c r="F77" s="5"/>
      <c r="G77" s="5"/>
      <c r="H77" s="5"/>
      <c r="I77" s="5"/>
    </row>
    <row r="78" spans="1:9" ht="12.75">
      <c r="A78" s="6"/>
      <c r="B78" s="7" t="s">
        <v>30</v>
      </c>
      <c r="C78" s="9">
        <v>5537</v>
      </c>
      <c r="D78" s="8">
        <v>9000</v>
      </c>
      <c r="E78" s="8">
        <v>5822.1</v>
      </c>
      <c r="F78" s="8">
        <f>D78-E78</f>
        <v>3177.8999999999996</v>
      </c>
      <c r="G78" s="8">
        <v>9000</v>
      </c>
      <c r="H78" s="8"/>
      <c r="I78" s="8">
        <f>SUM(G78:H78)</f>
        <v>9000</v>
      </c>
    </row>
    <row r="79" spans="1:9" ht="12.75">
      <c r="A79" s="6"/>
      <c r="B79" s="7" t="s">
        <v>208</v>
      </c>
      <c r="C79" s="9">
        <v>70426.42</v>
      </c>
      <c r="D79" s="8">
        <v>22000</v>
      </c>
      <c r="E79" s="8">
        <v>29601.11</v>
      </c>
      <c r="F79" s="8">
        <f>D79-E79</f>
        <v>-7601.110000000001</v>
      </c>
      <c r="G79" s="8">
        <v>40000</v>
      </c>
      <c r="H79" s="8"/>
      <c r="I79" s="8">
        <f>SUM(G79:H79)</f>
        <v>40000</v>
      </c>
    </row>
    <row r="80" spans="1:9" ht="12.75">
      <c r="A80" s="6"/>
      <c r="B80" s="7" t="s">
        <v>312</v>
      </c>
      <c r="C80" s="9">
        <v>46484</v>
      </c>
      <c r="D80" s="8">
        <v>7000</v>
      </c>
      <c r="E80" s="8">
        <v>1960.44</v>
      </c>
      <c r="F80" s="8">
        <f>D80-E80</f>
        <v>5039.5599999999995</v>
      </c>
      <c r="G80" s="8">
        <v>7550</v>
      </c>
      <c r="H80" s="8"/>
      <c r="I80" s="8">
        <f>SUM(G80:H80)</f>
        <v>7550</v>
      </c>
    </row>
    <row r="81" spans="1:9" s="73" customFormat="1" ht="13.5" thickBot="1">
      <c r="A81" s="10"/>
      <c r="B81" s="11" t="s">
        <v>9</v>
      </c>
      <c r="C81" s="80">
        <f aca="true" t="shared" si="13" ref="C81:I81">SUM(C78:C80)</f>
        <v>122447.42</v>
      </c>
      <c r="D81" s="80">
        <f t="shared" si="13"/>
        <v>38000</v>
      </c>
      <c r="E81" s="80">
        <f t="shared" si="13"/>
        <v>37383.65</v>
      </c>
      <c r="F81" s="80">
        <f t="shared" si="13"/>
        <v>616.3499999999985</v>
      </c>
      <c r="G81" s="80">
        <f t="shared" si="13"/>
        <v>56550</v>
      </c>
      <c r="H81" s="80">
        <f t="shared" si="13"/>
        <v>0</v>
      </c>
      <c r="I81" s="80">
        <f t="shared" si="13"/>
        <v>56550</v>
      </c>
    </row>
    <row r="82" spans="1:9" ht="13.5" thickBot="1">
      <c r="A82" s="3" t="s">
        <v>60</v>
      </c>
      <c r="B82" s="4" t="s">
        <v>146</v>
      </c>
      <c r="C82" s="5"/>
      <c r="D82" s="5"/>
      <c r="E82" s="5"/>
      <c r="F82" s="5"/>
      <c r="G82" s="5"/>
      <c r="H82" s="5"/>
      <c r="I82" s="5"/>
    </row>
    <row r="83" spans="1:9" ht="12.75">
      <c r="A83" s="6"/>
      <c r="B83" s="7" t="s">
        <v>12</v>
      </c>
      <c r="C83" s="9">
        <v>256026.75</v>
      </c>
      <c r="D83" s="8">
        <v>226980</v>
      </c>
      <c r="E83" s="8">
        <v>177325.87</v>
      </c>
      <c r="F83" s="8">
        <f>D83-E83</f>
        <v>49654.130000000005</v>
      </c>
      <c r="G83" s="8">
        <v>229496</v>
      </c>
      <c r="H83" s="8"/>
      <c r="I83" s="8">
        <f>SUM(G83:H83)</f>
        <v>229496</v>
      </c>
    </row>
    <row r="84" spans="1:9" ht="12.75">
      <c r="A84" s="6"/>
      <c r="B84" s="7" t="s">
        <v>260</v>
      </c>
      <c r="C84" s="9">
        <v>34205.25</v>
      </c>
      <c r="D84" s="8">
        <v>29648</v>
      </c>
      <c r="E84" s="8">
        <v>26930.1</v>
      </c>
      <c r="F84" s="8">
        <f>D84-E84</f>
        <v>2717.9000000000015</v>
      </c>
      <c r="G84" s="8">
        <v>30148</v>
      </c>
      <c r="H84" s="8"/>
      <c r="I84" s="8">
        <f>SUM(G84:H84)</f>
        <v>30148</v>
      </c>
    </row>
    <row r="85" spans="1:9" ht="12.75">
      <c r="A85" s="6"/>
      <c r="B85" s="7" t="s">
        <v>261</v>
      </c>
      <c r="C85" s="9">
        <v>0</v>
      </c>
      <c r="D85" s="8">
        <v>0</v>
      </c>
      <c r="E85" s="8"/>
      <c r="F85" s="8">
        <f>D85-E85</f>
        <v>0</v>
      </c>
      <c r="G85" s="8">
        <v>0</v>
      </c>
      <c r="H85" s="8"/>
      <c r="I85" s="8">
        <f>SUM(G85:H85)</f>
        <v>0</v>
      </c>
    </row>
    <row r="86" spans="1:9" ht="12.75">
      <c r="A86" s="6"/>
      <c r="B86" s="7" t="s">
        <v>195</v>
      </c>
      <c r="C86" s="9">
        <v>2971.5</v>
      </c>
      <c r="D86" s="8">
        <v>23133</v>
      </c>
      <c r="E86" s="8">
        <v>12392.24</v>
      </c>
      <c r="F86" s="8">
        <f>D86-E86</f>
        <v>10740.76</v>
      </c>
      <c r="G86" s="8">
        <v>24500</v>
      </c>
      <c r="H86" s="8"/>
      <c r="I86" s="8">
        <f>SUM(G86:H86)</f>
        <v>24500</v>
      </c>
    </row>
    <row r="87" spans="1:9" ht="12.75">
      <c r="A87" s="6"/>
      <c r="B87" s="7" t="s">
        <v>130</v>
      </c>
      <c r="C87" s="9">
        <v>771.52</v>
      </c>
      <c r="D87" s="8">
        <v>0</v>
      </c>
      <c r="E87" s="8">
        <v>431.26</v>
      </c>
      <c r="F87" s="8">
        <f>D87-E87</f>
        <v>-431.26</v>
      </c>
      <c r="G87" s="8">
        <v>0</v>
      </c>
      <c r="H87" s="8"/>
      <c r="I87" s="8">
        <f>SUM(G87:H87)</f>
        <v>0</v>
      </c>
    </row>
    <row r="88" spans="1:9" s="73" customFormat="1" ht="13.5" thickBot="1">
      <c r="A88" s="10"/>
      <c r="B88" s="11" t="s">
        <v>9</v>
      </c>
      <c r="C88" s="80">
        <f aca="true" t="shared" si="14" ref="C88:I88">SUM(C83:C87)</f>
        <v>293975.02</v>
      </c>
      <c r="D88" s="80">
        <f t="shared" si="14"/>
        <v>279761</v>
      </c>
      <c r="E88" s="80">
        <f t="shared" si="14"/>
        <v>217079.47</v>
      </c>
      <c r="F88" s="80">
        <f t="shared" si="14"/>
        <v>62681.530000000006</v>
      </c>
      <c r="G88" s="80">
        <f t="shared" si="14"/>
        <v>284144</v>
      </c>
      <c r="H88" s="80">
        <f t="shared" si="14"/>
        <v>0</v>
      </c>
      <c r="I88" s="80">
        <f t="shared" si="14"/>
        <v>284144</v>
      </c>
    </row>
    <row r="89" spans="1:9" ht="14.25" thickBot="1" thickTop="1">
      <c r="A89" s="33" t="s">
        <v>64</v>
      </c>
      <c r="B89" s="34" t="s">
        <v>65</v>
      </c>
      <c r="C89" s="48">
        <f aca="true" t="shared" si="15" ref="C89:I89">C88+C81+C76+C50+C44+C39+C36+C30+C14</f>
        <v>4702314.45</v>
      </c>
      <c r="D89" s="48">
        <f t="shared" si="15"/>
        <v>4797186.5</v>
      </c>
      <c r="E89" s="48">
        <f t="shared" si="15"/>
        <v>3710630.54</v>
      </c>
      <c r="F89" s="48">
        <f t="shared" si="15"/>
        <v>1086555.96</v>
      </c>
      <c r="G89" s="48">
        <f t="shared" si="15"/>
        <v>5010588</v>
      </c>
      <c r="H89" s="48">
        <f t="shared" si="15"/>
        <v>-162496</v>
      </c>
      <c r="I89" s="48">
        <f t="shared" si="15"/>
        <v>4848092</v>
      </c>
    </row>
    <row r="90" spans="1:9" ht="14.25" thickBot="1" thickTop="1">
      <c r="A90" s="36"/>
      <c r="B90" s="37"/>
      <c r="C90" s="39"/>
      <c r="D90" s="38"/>
      <c r="E90" s="38"/>
      <c r="F90" s="38"/>
      <c r="G90" s="38"/>
      <c r="H90" s="38"/>
      <c r="I90" s="38"/>
    </row>
    <row r="91" spans="1:9" ht="13.5" thickBot="1">
      <c r="A91" s="3" t="s">
        <v>66</v>
      </c>
      <c r="B91" s="4" t="s">
        <v>67</v>
      </c>
      <c r="C91" s="5"/>
      <c r="D91" s="5"/>
      <c r="E91" s="5"/>
      <c r="F91" s="5"/>
      <c r="G91" s="5"/>
      <c r="H91" s="5"/>
      <c r="I91" s="5"/>
    </row>
    <row r="92" spans="1:9" ht="12.75">
      <c r="A92" s="6"/>
      <c r="B92" s="7" t="s">
        <v>196</v>
      </c>
      <c r="C92" s="9">
        <v>48555.5</v>
      </c>
      <c r="D92" s="8">
        <v>52613</v>
      </c>
      <c r="E92" s="8">
        <v>38557.24</v>
      </c>
      <c r="F92" s="8">
        <f>D92-E92</f>
        <v>14055.760000000002</v>
      </c>
      <c r="G92" s="8">
        <v>53663</v>
      </c>
      <c r="H92" s="8"/>
      <c r="I92" s="8">
        <f>SUM(G92:H92)</f>
        <v>53663</v>
      </c>
    </row>
    <row r="93" spans="1:9" ht="12.75">
      <c r="A93" s="6"/>
      <c r="B93" s="7" t="s">
        <v>197</v>
      </c>
      <c r="C93" s="9">
        <v>2616.77</v>
      </c>
      <c r="D93" s="8">
        <v>0</v>
      </c>
      <c r="E93" s="8">
        <f>816.28+877.41</f>
        <v>1693.69</v>
      </c>
      <c r="F93" s="8">
        <f>D93-E93</f>
        <v>-1693.69</v>
      </c>
      <c r="G93" s="8">
        <v>2500</v>
      </c>
      <c r="H93" s="8"/>
      <c r="I93" s="8">
        <f>SUM(G93:H93)</f>
        <v>2500</v>
      </c>
    </row>
    <row r="94" spans="1:9" ht="12.75">
      <c r="A94" s="6"/>
      <c r="B94" s="13" t="s">
        <v>277</v>
      </c>
      <c r="C94" s="15">
        <v>185309.52</v>
      </c>
      <c r="D94" s="14">
        <v>187487</v>
      </c>
      <c r="E94" s="14">
        <v>148487.09</v>
      </c>
      <c r="F94" s="8">
        <f>D94-E94</f>
        <v>38999.91</v>
      </c>
      <c r="G94" s="14">
        <v>197056</v>
      </c>
      <c r="H94" s="14"/>
      <c r="I94" s="8">
        <f>SUM(G94:H94)</f>
        <v>197056</v>
      </c>
    </row>
    <row r="95" spans="1:9" ht="12.75">
      <c r="A95" s="6"/>
      <c r="B95" s="7" t="s">
        <v>195</v>
      </c>
      <c r="C95" s="9"/>
      <c r="D95" s="8"/>
      <c r="E95" s="8">
        <v>2484.28</v>
      </c>
      <c r="F95" s="8">
        <f>D95-E95</f>
        <v>-2484.28</v>
      </c>
      <c r="G95" s="8"/>
      <c r="H95" s="8"/>
      <c r="I95" s="8">
        <f>SUM(G95:H95)</f>
        <v>0</v>
      </c>
    </row>
    <row r="96" spans="1:9" s="73" customFormat="1" ht="13.5" thickBot="1">
      <c r="A96" s="10"/>
      <c r="B96" s="11" t="s">
        <v>9</v>
      </c>
      <c r="C96" s="80">
        <f aca="true" t="shared" si="16" ref="C96:I96">SUM(C92:C95)</f>
        <v>236481.78999999998</v>
      </c>
      <c r="D96" s="80">
        <f t="shared" si="16"/>
        <v>240100</v>
      </c>
      <c r="E96" s="80">
        <f t="shared" si="16"/>
        <v>191222.3</v>
      </c>
      <c r="F96" s="80">
        <f t="shared" si="16"/>
        <v>48877.700000000004</v>
      </c>
      <c r="G96" s="80">
        <f t="shared" si="16"/>
        <v>253219</v>
      </c>
      <c r="H96" s="80">
        <f t="shared" si="16"/>
        <v>0</v>
      </c>
      <c r="I96" s="80">
        <f t="shared" si="16"/>
        <v>253219</v>
      </c>
    </row>
    <row r="97" spans="1:9" ht="13.5" thickBot="1">
      <c r="A97" s="3" t="s">
        <v>199</v>
      </c>
      <c r="B97" s="4" t="s">
        <v>200</v>
      </c>
      <c r="C97" s="5"/>
      <c r="D97" s="5"/>
      <c r="E97" s="5"/>
      <c r="F97" s="5"/>
      <c r="G97" s="5"/>
      <c r="H97" s="5"/>
      <c r="I97" s="5"/>
    </row>
    <row r="98" spans="1:9" ht="12.75">
      <c r="A98" s="6"/>
      <c r="B98" s="7" t="s">
        <v>201</v>
      </c>
      <c r="C98" s="9">
        <v>22641.59</v>
      </c>
      <c r="D98" s="8">
        <v>3000</v>
      </c>
      <c r="E98" s="8">
        <v>7516.75</v>
      </c>
      <c r="F98" s="8">
        <f aca="true" t="shared" si="17" ref="F98:F107">D98-E98</f>
        <v>-4516.75</v>
      </c>
      <c r="G98" s="8">
        <v>5000</v>
      </c>
      <c r="H98" s="8"/>
      <c r="I98" s="8">
        <f aca="true" t="shared" si="18" ref="I98:I107">SUM(G98:H98)</f>
        <v>5000</v>
      </c>
    </row>
    <row r="99" spans="1:9" ht="12.75">
      <c r="A99" s="6"/>
      <c r="B99" s="7" t="s">
        <v>262</v>
      </c>
      <c r="C99" s="42">
        <v>0</v>
      </c>
      <c r="D99" s="8">
        <v>1395</v>
      </c>
      <c r="E99" s="8"/>
      <c r="F99" s="8">
        <f t="shared" si="17"/>
        <v>1395</v>
      </c>
      <c r="G99" s="8">
        <v>0</v>
      </c>
      <c r="H99" s="8"/>
      <c r="I99" s="8">
        <f t="shared" si="18"/>
        <v>0</v>
      </c>
    </row>
    <row r="100" spans="1:9" ht="12.75">
      <c r="A100" s="6"/>
      <c r="B100" s="7" t="s">
        <v>278</v>
      </c>
      <c r="C100" s="42">
        <f>13329.15+1096</f>
        <v>14425.15</v>
      </c>
      <c r="D100" s="8">
        <v>85000</v>
      </c>
      <c r="E100" s="8"/>
      <c r="F100" s="8">
        <f t="shared" si="17"/>
        <v>85000</v>
      </c>
      <c r="G100" s="8">
        <v>87125</v>
      </c>
      <c r="H100" s="8"/>
      <c r="I100" s="8">
        <f t="shared" si="18"/>
        <v>87125</v>
      </c>
    </row>
    <row r="101" spans="1:9" ht="12.75">
      <c r="A101" s="6"/>
      <c r="B101" s="7" t="s">
        <v>279</v>
      </c>
      <c r="C101" s="42">
        <v>0</v>
      </c>
      <c r="D101" s="8">
        <v>38625</v>
      </c>
      <c r="E101" s="8"/>
      <c r="F101" s="8">
        <f t="shared" si="17"/>
        <v>38625</v>
      </c>
      <c r="G101" s="8"/>
      <c r="H101" s="8">
        <v>30000</v>
      </c>
      <c r="I101" s="8">
        <f t="shared" si="18"/>
        <v>30000</v>
      </c>
    </row>
    <row r="102" spans="1:9" ht="12.75">
      <c r="A102" s="6"/>
      <c r="B102" s="7" t="s">
        <v>280</v>
      </c>
      <c r="C102" s="42">
        <v>33905.25</v>
      </c>
      <c r="D102" s="8">
        <v>29648</v>
      </c>
      <c r="E102" s="8">
        <v>30376.5</v>
      </c>
      <c r="F102" s="8">
        <f t="shared" si="17"/>
        <v>-728.5</v>
      </c>
      <c r="G102" s="8">
        <v>30148</v>
      </c>
      <c r="H102" s="8"/>
      <c r="I102" s="8">
        <f t="shared" si="18"/>
        <v>30148</v>
      </c>
    </row>
    <row r="103" spans="1:9" ht="12.75">
      <c r="A103" s="6"/>
      <c r="B103" s="7" t="s">
        <v>281</v>
      </c>
      <c r="C103" s="42">
        <v>2959.15</v>
      </c>
      <c r="D103" s="8">
        <v>0</v>
      </c>
      <c r="E103" s="8">
        <v>3274.34</v>
      </c>
      <c r="F103" s="8">
        <f t="shared" si="17"/>
        <v>-3274.34</v>
      </c>
      <c r="G103" s="8">
        <v>0</v>
      </c>
      <c r="H103" s="8"/>
      <c r="I103" s="8">
        <f t="shared" si="18"/>
        <v>0</v>
      </c>
    </row>
    <row r="104" spans="1:9" ht="12.75">
      <c r="A104" s="6"/>
      <c r="B104" s="7" t="s">
        <v>263</v>
      </c>
      <c r="C104" s="42">
        <v>40685.91</v>
      </c>
      <c r="D104" s="8">
        <v>152168</v>
      </c>
      <c r="E104" s="8"/>
      <c r="F104" s="8">
        <f t="shared" si="17"/>
        <v>152168</v>
      </c>
      <c r="G104" s="8">
        <v>153000</v>
      </c>
      <c r="H104" s="8"/>
      <c r="I104" s="8">
        <f t="shared" si="18"/>
        <v>153000</v>
      </c>
    </row>
    <row r="105" spans="1:9" ht="12.75">
      <c r="A105" s="6"/>
      <c r="B105" s="7" t="s">
        <v>264</v>
      </c>
      <c r="C105" s="42">
        <v>0</v>
      </c>
      <c r="D105" s="8">
        <v>33935</v>
      </c>
      <c r="E105" s="8">
        <v>20591.81</v>
      </c>
      <c r="F105" s="8">
        <f t="shared" si="17"/>
        <v>13343.189999999999</v>
      </c>
      <c r="G105" s="8">
        <v>32037</v>
      </c>
      <c r="H105" s="8"/>
      <c r="I105" s="8">
        <f t="shared" si="18"/>
        <v>32037</v>
      </c>
    </row>
    <row r="106" spans="1:9" ht="12.75">
      <c r="A106" s="6"/>
      <c r="B106" s="7" t="s">
        <v>282</v>
      </c>
      <c r="C106" s="42">
        <v>0</v>
      </c>
      <c r="D106" s="8">
        <v>-136145</v>
      </c>
      <c r="E106" s="8"/>
      <c r="F106" s="8">
        <f t="shared" si="17"/>
        <v>-136145</v>
      </c>
      <c r="G106" s="8">
        <v>-137000</v>
      </c>
      <c r="H106" s="8">
        <v>-20275</v>
      </c>
      <c r="I106" s="8">
        <f t="shared" si="18"/>
        <v>-157275</v>
      </c>
    </row>
    <row r="107" spans="1:9" ht="12.75">
      <c r="A107" s="6"/>
      <c r="B107" s="7" t="s">
        <v>202</v>
      </c>
      <c r="C107" s="42">
        <v>771.45</v>
      </c>
      <c r="D107" s="8">
        <v>9547</v>
      </c>
      <c r="E107" s="8">
        <v>1906.2</v>
      </c>
      <c r="F107" s="8">
        <f t="shared" si="17"/>
        <v>7640.8</v>
      </c>
      <c r="G107" s="8">
        <v>0</v>
      </c>
      <c r="H107" s="8"/>
      <c r="I107" s="8">
        <f t="shared" si="18"/>
        <v>0</v>
      </c>
    </row>
    <row r="108" spans="1:9" s="73" customFormat="1" ht="13.5" thickBot="1">
      <c r="A108" s="10"/>
      <c r="B108" s="11" t="s">
        <v>9</v>
      </c>
      <c r="C108" s="80">
        <f aca="true" t="shared" si="19" ref="C108:I108">SUM(C98:C107)</f>
        <v>115388.49999999999</v>
      </c>
      <c r="D108" s="80">
        <f t="shared" si="19"/>
        <v>217173</v>
      </c>
      <c r="E108" s="80">
        <f t="shared" si="19"/>
        <v>63665.59999999999</v>
      </c>
      <c r="F108" s="80">
        <f t="shared" si="19"/>
        <v>153507.40000000002</v>
      </c>
      <c r="G108" s="80">
        <f t="shared" si="19"/>
        <v>170310</v>
      </c>
      <c r="H108" s="80">
        <f t="shared" si="19"/>
        <v>9725</v>
      </c>
      <c r="I108" s="80">
        <f t="shared" si="19"/>
        <v>180035</v>
      </c>
    </row>
    <row r="109" spans="1:9" ht="14.25" thickBot="1" thickTop="1">
      <c r="A109" s="66" t="s">
        <v>71</v>
      </c>
      <c r="B109" s="67" t="s">
        <v>72</v>
      </c>
      <c r="C109" s="68">
        <f aca="true" t="shared" si="20" ref="C109:I109">C96+C108</f>
        <v>351870.29</v>
      </c>
      <c r="D109" s="68">
        <f t="shared" si="20"/>
        <v>457273</v>
      </c>
      <c r="E109" s="68">
        <f t="shared" si="20"/>
        <v>254887.89999999997</v>
      </c>
      <c r="F109" s="68">
        <f t="shared" si="20"/>
        <v>202385.10000000003</v>
      </c>
      <c r="G109" s="68">
        <f t="shared" si="20"/>
        <v>423529</v>
      </c>
      <c r="H109" s="68">
        <f t="shared" si="20"/>
        <v>9725</v>
      </c>
      <c r="I109" s="68">
        <f t="shared" si="20"/>
        <v>433254</v>
      </c>
    </row>
    <row r="110" spans="1:9" ht="13.5" thickBot="1">
      <c r="A110" s="43" t="s">
        <v>73</v>
      </c>
      <c r="B110" s="52" t="s">
        <v>203</v>
      </c>
      <c r="C110" s="5"/>
      <c r="D110" s="5"/>
      <c r="E110" s="5"/>
      <c r="F110" s="5"/>
      <c r="G110" s="5"/>
      <c r="H110" s="5"/>
      <c r="I110" s="5"/>
    </row>
    <row r="111" spans="1:9" ht="12.75">
      <c r="A111" s="6"/>
      <c r="B111" s="7" t="s">
        <v>7</v>
      </c>
      <c r="C111" s="9">
        <v>69317.17</v>
      </c>
      <c r="D111" s="8">
        <v>34726</v>
      </c>
      <c r="E111" s="8">
        <f>79808.01+10021.36</f>
        <v>89829.37</v>
      </c>
      <c r="F111" s="8">
        <f>D111-E111</f>
        <v>-55103.369999999995</v>
      </c>
      <c r="G111" s="8">
        <v>103962</v>
      </c>
      <c r="H111" s="8"/>
      <c r="I111" s="8">
        <f aca="true" t="shared" si="21" ref="I111:I120">SUM(G111:H111)</f>
        <v>103962</v>
      </c>
    </row>
    <row r="112" spans="1:9" ht="12.75">
      <c r="A112" s="6"/>
      <c r="B112" s="7" t="s">
        <v>221</v>
      </c>
      <c r="C112" s="9">
        <v>0</v>
      </c>
      <c r="D112" s="8">
        <v>175800</v>
      </c>
      <c r="E112" s="8">
        <v>162140</v>
      </c>
      <c r="F112" s="8">
        <f>D112-E112</f>
        <v>13660</v>
      </c>
      <c r="G112" s="8">
        <v>0</v>
      </c>
      <c r="H112" s="8"/>
      <c r="I112" s="8">
        <f t="shared" si="21"/>
        <v>0</v>
      </c>
    </row>
    <row r="113" spans="1:9" ht="12.75">
      <c r="A113" s="6"/>
      <c r="B113" s="7" t="s">
        <v>283</v>
      </c>
      <c r="C113" s="9">
        <v>0</v>
      </c>
      <c r="D113" s="8">
        <v>14642</v>
      </c>
      <c r="E113" s="8">
        <v>10303</v>
      </c>
      <c r="F113" s="8">
        <f>D113-E113</f>
        <v>4339</v>
      </c>
      <c r="G113" s="8">
        <v>14642</v>
      </c>
      <c r="H113" s="8"/>
      <c r="I113" s="8">
        <f t="shared" si="21"/>
        <v>14642</v>
      </c>
    </row>
    <row r="114" spans="1:9" ht="12.75">
      <c r="A114" s="6"/>
      <c r="B114" s="7" t="s">
        <v>195</v>
      </c>
      <c r="C114" s="9">
        <v>4137.49</v>
      </c>
      <c r="D114" s="8">
        <v>4000</v>
      </c>
      <c r="E114" s="8">
        <v>4159.41</v>
      </c>
      <c r="F114" s="8">
        <f>D114-E114</f>
        <v>-159.40999999999985</v>
      </c>
      <c r="G114" s="8">
        <v>48000</v>
      </c>
      <c r="H114" s="8"/>
      <c r="I114" s="8">
        <f t="shared" si="21"/>
        <v>48000</v>
      </c>
    </row>
    <row r="115" spans="1:9" s="73" customFormat="1" ht="13.5" thickBot="1">
      <c r="A115" s="54"/>
      <c r="B115" s="31" t="s">
        <v>204</v>
      </c>
      <c r="C115" s="82">
        <f aca="true" t="shared" si="22" ref="C115:I115">SUM(C111:C114)</f>
        <v>73454.66</v>
      </c>
      <c r="D115" s="82">
        <f t="shared" si="22"/>
        <v>229168</v>
      </c>
      <c r="E115" s="82">
        <f t="shared" si="22"/>
        <v>266431.77999999997</v>
      </c>
      <c r="F115" s="82">
        <f t="shared" si="22"/>
        <v>-37263.78</v>
      </c>
      <c r="G115" s="82">
        <f t="shared" si="22"/>
        <v>166604</v>
      </c>
      <c r="H115" s="82">
        <f t="shared" si="22"/>
        <v>0</v>
      </c>
      <c r="I115" s="82">
        <f t="shared" si="22"/>
        <v>166604</v>
      </c>
    </row>
    <row r="116" spans="1:9" ht="13.5" thickTop="1">
      <c r="A116" s="6"/>
      <c r="B116" s="7" t="s">
        <v>205</v>
      </c>
      <c r="C116" s="9">
        <v>86488.2</v>
      </c>
      <c r="D116" s="8">
        <v>100507.33</v>
      </c>
      <c r="E116" s="8">
        <v>69923.46</v>
      </c>
      <c r="F116" s="8">
        <f>D116-E116</f>
        <v>30583.869999999995</v>
      </c>
      <c r="G116" s="8">
        <v>100507.33</v>
      </c>
      <c r="H116" s="8"/>
      <c r="I116" s="8">
        <f t="shared" si="21"/>
        <v>100507.33</v>
      </c>
    </row>
    <row r="117" spans="1:9" ht="12.75">
      <c r="A117" s="6"/>
      <c r="B117" s="7" t="s">
        <v>206</v>
      </c>
      <c r="C117" s="9">
        <v>0</v>
      </c>
      <c r="D117" s="8">
        <v>0</v>
      </c>
      <c r="E117" s="8"/>
      <c r="F117" s="8">
        <f>D117-E117</f>
        <v>0</v>
      </c>
      <c r="G117" s="8">
        <v>0</v>
      </c>
      <c r="H117" s="8"/>
      <c r="I117" s="8">
        <f t="shared" si="21"/>
        <v>0</v>
      </c>
    </row>
    <row r="118" spans="1:9" ht="12.75">
      <c r="A118" s="6"/>
      <c r="B118" s="7" t="s">
        <v>207</v>
      </c>
      <c r="C118" s="9">
        <v>134629.81</v>
      </c>
      <c r="D118" s="8">
        <v>140000</v>
      </c>
      <c r="E118" s="8">
        <v>70009.29</v>
      </c>
      <c r="F118" s="8">
        <f>D118-E118</f>
        <v>69990.71</v>
      </c>
      <c r="G118" s="8">
        <v>240000</v>
      </c>
      <c r="H118" s="8"/>
      <c r="I118" s="8">
        <f t="shared" si="21"/>
        <v>240000</v>
      </c>
    </row>
    <row r="119" spans="1:9" ht="12.75">
      <c r="A119" s="6"/>
      <c r="B119" s="7" t="s">
        <v>284</v>
      </c>
      <c r="C119" s="9"/>
      <c r="D119" s="8"/>
      <c r="E119" s="8"/>
      <c r="F119" s="8">
        <f>D119-E119</f>
        <v>0</v>
      </c>
      <c r="G119" s="8">
        <v>20000</v>
      </c>
      <c r="H119" s="8"/>
      <c r="I119" s="8">
        <f t="shared" si="21"/>
        <v>20000</v>
      </c>
    </row>
    <row r="120" spans="1:9" ht="12.75">
      <c r="A120" s="6"/>
      <c r="B120" s="7" t="s">
        <v>209</v>
      </c>
      <c r="C120" s="9">
        <v>36352</v>
      </c>
      <c r="D120" s="8">
        <v>23000</v>
      </c>
      <c r="E120" s="8">
        <v>21283.9</v>
      </c>
      <c r="F120" s="8">
        <f>D120-E120</f>
        <v>1716.0999999999985</v>
      </c>
      <c r="G120" s="8">
        <v>40000</v>
      </c>
      <c r="H120" s="8"/>
      <c r="I120" s="8">
        <f t="shared" si="21"/>
        <v>40000</v>
      </c>
    </row>
    <row r="121" spans="1:9" s="73" customFormat="1" ht="13.5" thickBot="1">
      <c r="A121" s="54"/>
      <c r="B121" s="11" t="s">
        <v>210</v>
      </c>
      <c r="C121" s="80">
        <f aca="true" t="shared" si="23" ref="C121:I121">SUM(C116:C120)</f>
        <v>257470.01</v>
      </c>
      <c r="D121" s="80">
        <f t="shared" si="23"/>
        <v>263507.33</v>
      </c>
      <c r="E121" s="80">
        <f t="shared" si="23"/>
        <v>161216.65</v>
      </c>
      <c r="F121" s="80">
        <f t="shared" si="23"/>
        <v>102290.68</v>
      </c>
      <c r="G121" s="80">
        <f t="shared" si="23"/>
        <v>400507.33</v>
      </c>
      <c r="H121" s="80">
        <f t="shared" si="23"/>
        <v>0</v>
      </c>
      <c r="I121" s="80">
        <f t="shared" si="23"/>
        <v>400507.33</v>
      </c>
    </row>
    <row r="122" spans="1:9" ht="14.25" thickBot="1" thickTop="1">
      <c r="A122" s="33" t="s">
        <v>73</v>
      </c>
      <c r="B122" s="34" t="s">
        <v>75</v>
      </c>
      <c r="C122" s="69">
        <f aca="true" t="shared" si="24" ref="C122:I122">C121+C115</f>
        <v>330924.67000000004</v>
      </c>
      <c r="D122" s="69">
        <f t="shared" si="24"/>
        <v>492675.33</v>
      </c>
      <c r="E122" s="69">
        <f t="shared" si="24"/>
        <v>427648.42999999993</v>
      </c>
      <c r="F122" s="69">
        <f t="shared" si="24"/>
        <v>65026.899999999994</v>
      </c>
      <c r="G122" s="69">
        <f t="shared" si="24"/>
        <v>567111.3300000001</v>
      </c>
      <c r="H122" s="69">
        <f t="shared" si="24"/>
        <v>0</v>
      </c>
      <c r="I122" s="69">
        <f t="shared" si="24"/>
        <v>567111.3300000001</v>
      </c>
    </row>
    <row r="123" spans="1:9" ht="13.5" thickTop="1">
      <c r="A123" s="6"/>
      <c r="B123" s="7"/>
      <c r="C123" s="9"/>
      <c r="D123" s="8"/>
      <c r="E123" s="8"/>
      <c r="F123" s="8"/>
      <c r="G123" s="8"/>
      <c r="H123" s="8"/>
      <c r="I123" s="8"/>
    </row>
    <row r="124" spans="1:9" ht="13.5" thickBot="1">
      <c r="A124" s="121" t="s">
        <v>285</v>
      </c>
      <c r="B124" s="122"/>
      <c r="C124" s="56">
        <v>0</v>
      </c>
      <c r="D124" s="56">
        <v>0</v>
      </c>
      <c r="E124" s="56"/>
      <c r="F124" s="56"/>
      <c r="G124" s="56">
        <v>490500</v>
      </c>
      <c r="H124" s="56">
        <f>H136</f>
        <v>-130522</v>
      </c>
      <c r="I124" s="56">
        <f>I136</f>
        <v>359978</v>
      </c>
    </row>
    <row r="125" spans="1:9" ht="13.5" thickTop="1">
      <c r="A125" s="6"/>
      <c r="B125" s="57"/>
      <c r="C125" s="9"/>
      <c r="D125" s="8"/>
      <c r="E125" s="8"/>
      <c r="F125" s="8"/>
      <c r="G125" s="8"/>
      <c r="H125" s="8"/>
      <c r="I125" s="8"/>
    </row>
    <row r="126" spans="1:9" ht="13.5" thickBot="1">
      <c r="A126" s="117" t="s">
        <v>100</v>
      </c>
      <c r="B126" s="118"/>
      <c r="C126" s="58">
        <f aca="true" t="shared" si="25" ref="C126:I126">C89+C109+C122+C124</f>
        <v>5385109.41</v>
      </c>
      <c r="D126" s="58">
        <f t="shared" si="25"/>
        <v>5747134.83</v>
      </c>
      <c r="E126" s="58">
        <f t="shared" si="25"/>
        <v>4393166.87</v>
      </c>
      <c r="F126" s="58">
        <f t="shared" si="25"/>
        <v>1353967.96</v>
      </c>
      <c r="G126" s="58">
        <f t="shared" si="25"/>
        <v>6491728.33</v>
      </c>
      <c r="H126" s="58">
        <f t="shared" si="25"/>
        <v>-283293</v>
      </c>
      <c r="I126" s="58">
        <f t="shared" si="25"/>
        <v>6208435.33</v>
      </c>
    </row>
    <row r="127" spans="1:9" ht="12.75">
      <c r="A127" s="59"/>
      <c r="B127" s="7"/>
      <c r="C127" s="60"/>
      <c r="D127" s="60"/>
      <c r="E127" s="60"/>
      <c r="F127" s="60"/>
      <c r="G127" s="60"/>
      <c r="H127" s="60"/>
      <c r="I127" s="60"/>
    </row>
    <row r="128" spans="1:9" ht="12.75">
      <c r="A128" s="59">
        <v>1</v>
      </c>
      <c r="B128" s="7" t="s">
        <v>286</v>
      </c>
      <c r="C128" s="60"/>
      <c r="D128" s="60"/>
      <c r="E128" s="60"/>
      <c r="F128" s="60"/>
      <c r="G128" s="83">
        <v>51165</v>
      </c>
      <c r="H128" s="60"/>
      <c r="I128" s="60">
        <f>SUM(G128:H128)</f>
        <v>51165</v>
      </c>
    </row>
    <row r="129" spans="1:9" ht="12.75">
      <c r="A129">
        <v>1</v>
      </c>
      <c r="B129" t="s">
        <v>287</v>
      </c>
      <c r="G129" s="84">
        <v>51165</v>
      </c>
      <c r="H129">
        <v>-51165</v>
      </c>
      <c r="I129" s="60">
        <f aca="true" t="shared" si="26" ref="I129:I135">SUM(G129:H129)</f>
        <v>0</v>
      </c>
    </row>
    <row r="130" spans="1:9" ht="12.75">
      <c r="A130">
        <v>0.5</v>
      </c>
      <c r="B130" t="s">
        <v>279</v>
      </c>
      <c r="G130" s="84">
        <v>35000</v>
      </c>
      <c r="H130">
        <v>-35000</v>
      </c>
      <c r="I130" s="60">
        <f t="shared" si="26"/>
        <v>0</v>
      </c>
    </row>
    <row r="131" spans="2:9" ht="12.75">
      <c r="B131" t="s">
        <v>310</v>
      </c>
      <c r="G131" s="84"/>
      <c r="H131">
        <v>40000</v>
      </c>
      <c r="I131" s="60">
        <f>SUM(G131:H131)</f>
        <v>40000</v>
      </c>
    </row>
    <row r="132" spans="1:9" ht="12.75">
      <c r="A132">
        <v>2</v>
      </c>
      <c r="B132" t="s">
        <v>288</v>
      </c>
      <c r="G132" s="84">
        <v>33218</v>
      </c>
      <c r="I132" s="60">
        <f t="shared" si="26"/>
        <v>33218</v>
      </c>
    </row>
    <row r="133" spans="1:9" ht="12.75">
      <c r="A133">
        <v>1</v>
      </c>
      <c r="B133" t="s">
        <v>289</v>
      </c>
      <c r="G133" s="84">
        <v>45000</v>
      </c>
      <c r="I133" s="60">
        <f t="shared" si="26"/>
        <v>45000</v>
      </c>
    </row>
    <row r="134" spans="1:9" ht="12.75">
      <c r="A134">
        <v>1</v>
      </c>
      <c r="B134" t="s">
        <v>290</v>
      </c>
      <c r="G134" s="84">
        <v>50000</v>
      </c>
      <c r="I134" s="60">
        <f t="shared" si="26"/>
        <v>50000</v>
      </c>
    </row>
    <row r="135" spans="1:9" ht="12.75">
      <c r="A135">
        <v>8</v>
      </c>
      <c r="B135" t="s">
        <v>267</v>
      </c>
      <c r="G135" s="85">
        <v>224952</v>
      </c>
      <c r="H135" s="86">
        <v>-84357</v>
      </c>
      <c r="I135" s="87">
        <f t="shared" si="26"/>
        <v>140595</v>
      </c>
    </row>
    <row r="136" spans="7:9" ht="12.75">
      <c r="G136" s="88">
        <f>SUM(G128:G135)</f>
        <v>490500</v>
      </c>
      <c r="H136" s="88">
        <f>SUM(H128:H135)</f>
        <v>-130522</v>
      </c>
      <c r="I136" s="88">
        <f>SUM(I128:I135)</f>
        <v>359978</v>
      </c>
    </row>
    <row r="137" ht="12.75">
      <c r="G137" s="84"/>
    </row>
    <row r="138" ht="12.75">
      <c r="G138" s="84"/>
    </row>
    <row r="139" ht="12.75">
      <c r="G139" s="84"/>
    </row>
  </sheetData>
  <mergeCells count="11">
    <mergeCell ref="H3:H4"/>
    <mergeCell ref="I3:I4"/>
    <mergeCell ref="A124:B124"/>
    <mergeCell ref="A126:B126"/>
    <mergeCell ref="A1:I2"/>
    <mergeCell ref="A3:B5"/>
    <mergeCell ref="C3:C4"/>
    <mergeCell ref="D3:D4"/>
    <mergeCell ref="G3:G4"/>
    <mergeCell ref="E3:E4"/>
    <mergeCell ref="F3:F4"/>
  </mergeCells>
  <printOptions gridLines="1"/>
  <pageMargins left="0.48" right="0.26" top="1" bottom="1" header="0.5" footer="0.5"/>
  <pageSetup horizontalDpi="150" verticalDpi="15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Swampscott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Swampscott</dc:creator>
  <cp:keywords/>
  <dc:description/>
  <cp:lastModifiedBy>Neil Bernstein</cp:lastModifiedBy>
  <cp:lastPrinted>2007-05-21T17:24:20Z</cp:lastPrinted>
  <dcterms:created xsi:type="dcterms:W3CDTF">2007-04-10T21:53:20Z</dcterms:created>
  <dcterms:modified xsi:type="dcterms:W3CDTF">2007-05-22T17:38:27Z</dcterms:modified>
  <cp:category/>
  <cp:version/>
  <cp:contentType/>
  <cp:contentStatus/>
</cp:coreProperties>
</file>